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57fc1b5d840bea1/Asset_Management/Valuation_Models/"/>
    </mc:Choice>
  </mc:AlternateContent>
  <xr:revisionPtr revIDLastSave="164" documentId="8_{F5803BF8-5B1C-4447-8F7B-F20E7FBFA032}" xr6:coauthVersionLast="47" xr6:coauthVersionMax="47" xr10:uidLastSave="{C85A54CE-1FA7-4473-9995-AC6D96FDD2AC}"/>
  <bookViews>
    <workbookView xWindow="-110" yWindow="-110" windowWidth="25820" windowHeight="15500" activeTab="1" xr2:uid="{9A01AF42-8690-439C-9073-E3F60472233E}"/>
  </bookViews>
  <sheets>
    <sheet name="Cover" sheetId="4" r:id="rId1"/>
    <sheet name="Valuation" sheetId="2" r:id="rId2"/>
    <sheet name="Support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0" i="2" l="1"/>
  <c r="K23" i="2" l="1"/>
  <c r="L17" i="2"/>
  <c r="M17" i="2"/>
  <c r="N17" i="2"/>
  <c r="O17" i="2"/>
  <c r="P17" i="2"/>
  <c r="Q17" i="2"/>
  <c r="R17" i="2"/>
  <c r="S17" i="2"/>
  <c r="T17" i="2"/>
  <c r="U17" i="2"/>
  <c r="J17" i="2"/>
  <c r="J19" i="2" s="1"/>
  <c r="K17" i="2"/>
  <c r="J15" i="2"/>
  <c r="G26" i="2"/>
  <c r="J11" i="2"/>
  <c r="J23" i="2" s="1"/>
  <c r="L25" i="2" l="1"/>
  <c r="M25" i="2"/>
  <c r="N25" i="2"/>
  <c r="O25" i="2"/>
  <c r="K25" i="2"/>
  <c r="L23" i="2"/>
  <c r="M23" i="2"/>
  <c r="N23" i="2"/>
  <c r="O23" i="2"/>
  <c r="U25" i="2"/>
  <c r="P25" i="2" s="1"/>
  <c r="U23" i="2"/>
  <c r="P23" i="2" l="1"/>
  <c r="Q23" i="2" s="1"/>
  <c r="R23" i="2" s="1"/>
  <c r="S23" i="2" s="1"/>
  <c r="T23" i="2" s="1"/>
  <c r="Q25" i="2"/>
  <c r="R25" i="2" s="1"/>
  <c r="S25" i="2" s="1"/>
  <c r="T25" i="2" s="1"/>
  <c r="D23" i="2" l="1"/>
  <c r="L13" i="2" l="1"/>
  <c r="M13" i="2"/>
  <c r="N13" i="2"/>
  <c r="O13" i="2"/>
  <c r="K13" i="2"/>
  <c r="U12" i="2" l="1"/>
  <c r="U16" i="2" l="1"/>
  <c r="G18" i="2"/>
  <c r="J22" i="2" s="1"/>
  <c r="J24" i="2" l="1"/>
  <c r="J25" i="2" s="1"/>
  <c r="K27" i="2" l="1"/>
  <c r="K28" i="2" s="1"/>
  <c r="L27" i="2"/>
  <c r="L28" i="2" s="1"/>
  <c r="M27" i="2"/>
  <c r="M28" i="2" s="1"/>
  <c r="N27" i="2"/>
  <c r="N28" i="2" s="1"/>
  <c r="O27" i="2"/>
  <c r="J27" i="2"/>
  <c r="J28" i="2" s="1"/>
  <c r="U27" i="2"/>
  <c r="K20" i="2"/>
  <c r="L20" i="2"/>
  <c r="M20" i="2"/>
  <c r="N20" i="2"/>
  <c r="O20" i="2"/>
  <c r="J20" i="2"/>
  <c r="U20" i="2"/>
  <c r="K12" i="2"/>
  <c r="K16" i="2" s="1"/>
  <c r="L12" i="2"/>
  <c r="L16" i="2" s="1"/>
  <c r="M12" i="2"/>
  <c r="M16" i="2" s="1"/>
  <c r="N12" i="2"/>
  <c r="N16" i="2" s="1"/>
  <c r="O12" i="2"/>
  <c r="O16" i="2" s="1"/>
  <c r="U13" i="2"/>
  <c r="P13" i="2" s="1"/>
  <c r="Q13" i="2" s="1"/>
  <c r="R13" i="2" s="1"/>
  <c r="S13" i="2" s="1"/>
  <c r="T13" i="2" s="1"/>
  <c r="U28" i="2" l="1"/>
  <c r="O28" i="2"/>
  <c r="P27" i="2"/>
  <c r="P20" i="2"/>
  <c r="K15" i="2"/>
  <c r="K19" i="2" s="1"/>
  <c r="K11" i="2"/>
  <c r="K22" i="2" s="1"/>
  <c r="P12" i="2"/>
  <c r="P16" i="2" s="1"/>
  <c r="Q20" i="2" l="1"/>
  <c r="L11" i="2"/>
  <c r="L22" i="2" s="1"/>
  <c r="K24" i="2"/>
  <c r="Q27" i="2"/>
  <c r="P28" i="2"/>
  <c r="L15" i="2"/>
  <c r="L19" i="2" s="1"/>
  <c r="K14" i="2"/>
  <c r="K21" i="2" s="1"/>
  <c r="Q12" i="2"/>
  <c r="Q16" i="2" s="1"/>
  <c r="R20" i="2" l="1"/>
  <c r="M11" i="2"/>
  <c r="M14" i="2" s="1"/>
  <c r="L24" i="2"/>
  <c r="R27" i="2"/>
  <c r="Q28" i="2"/>
  <c r="K18" i="2"/>
  <c r="M15" i="2"/>
  <c r="M19" i="2" s="1"/>
  <c r="R12" i="2"/>
  <c r="R16" i="2" s="1"/>
  <c r="L14" i="2"/>
  <c r="L21" i="2" s="1"/>
  <c r="D33" i="2"/>
  <c r="M21" i="2" l="1"/>
  <c r="S20" i="2"/>
  <c r="M18" i="2"/>
  <c r="N11" i="2"/>
  <c r="M22" i="2"/>
  <c r="M24" i="2"/>
  <c r="S27" i="2"/>
  <c r="R28" i="2"/>
  <c r="L18" i="2"/>
  <c r="N15" i="2"/>
  <c r="N19" i="2" s="1"/>
  <c r="S12" i="2"/>
  <c r="S16" i="2" s="1"/>
  <c r="N14" i="2"/>
  <c r="D14" i="2"/>
  <c r="K29" i="2"/>
  <c r="N21" i="2" l="1"/>
  <c r="T20" i="2"/>
  <c r="O11" i="2"/>
  <c r="O14" i="2" s="1"/>
  <c r="N22" i="2"/>
  <c r="N24" i="2"/>
  <c r="T27" i="2"/>
  <c r="S28" i="2"/>
  <c r="N18" i="2"/>
  <c r="O15" i="2"/>
  <c r="O19" i="2" s="1"/>
  <c r="T12" i="2"/>
  <c r="L29" i="2"/>
  <c r="T16" i="2" l="1"/>
  <c r="O21" i="2"/>
  <c r="O22" i="2"/>
  <c r="O24" i="2"/>
  <c r="P11" i="2"/>
  <c r="T28" i="2"/>
  <c r="O18" i="2"/>
  <c r="P15" i="2"/>
  <c r="P19" i="2" s="1"/>
  <c r="M29" i="2"/>
  <c r="P14" i="2"/>
  <c r="P21" i="2" l="1"/>
  <c r="P22" i="2"/>
  <c r="P24" i="2"/>
  <c r="Q11" i="2"/>
  <c r="P18" i="2"/>
  <c r="Q15" i="2"/>
  <c r="Q19" i="2" s="1"/>
  <c r="N29" i="2"/>
  <c r="Q14" i="2"/>
  <c r="Q21" i="2" l="1"/>
  <c r="Q22" i="2"/>
  <c r="Q24" i="2"/>
  <c r="R11" i="2"/>
  <c r="Q18" i="2"/>
  <c r="R15" i="2"/>
  <c r="R19" i="2" s="1"/>
  <c r="O29" i="2"/>
  <c r="R22" i="2" l="1"/>
  <c r="R24" i="2"/>
  <c r="S11" i="2"/>
  <c r="R14" i="2"/>
  <c r="S15" i="2"/>
  <c r="S19" i="2" s="1"/>
  <c r="P29" i="2"/>
  <c r="Q29" i="2" s="1"/>
  <c r="R29" i="2" s="1"/>
  <c r="S29" i="2" s="1"/>
  <c r="T29" i="2" s="1"/>
  <c r="U29" i="2" l="1"/>
  <c r="R18" i="2"/>
  <c r="R21" i="2"/>
  <c r="S22" i="2"/>
  <c r="S24" i="2"/>
  <c r="T11" i="2"/>
  <c r="U11" i="2" s="1"/>
  <c r="S14" i="2"/>
  <c r="T15" i="2"/>
  <c r="U15" i="2" s="1"/>
  <c r="T19" i="2" l="1"/>
  <c r="U19" i="2"/>
  <c r="S18" i="2"/>
  <c r="S21" i="2"/>
  <c r="T22" i="2"/>
  <c r="T24" i="2"/>
  <c r="T14" i="2"/>
  <c r="T21" i="2" l="1"/>
  <c r="T18" i="2"/>
  <c r="U22" i="2" l="1"/>
  <c r="U24" i="2"/>
  <c r="U14" i="2"/>
  <c r="U21" i="2" s="1"/>
  <c r="U18" i="2" l="1"/>
  <c r="J14" i="2"/>
  <c r="J21" i="2" s="1"/>
  <c r="J18" i="2" l="1"/>
  <c r="J13" i="2"/>
  <c r="U26" i="2"/>
  <c r="G31" i="2" s="1"/>
  <c r="T26" i="2"/>
  <c r="T30" i="2" s="1"/>
  <c r="N26" i="2"/>
  <c r="N30" i="2" s="1"/>
  <c r="S26" i="2"/>
  <c r="S30" i="2" s="1"/>
  <c r="Q26" i="2"/>
  <c r="Q30" i="2" s="1"/>
  <c r="P26" i="2"/>
  <c r="P30" i="2" s="1"/>
  <c r="K26" i="2"/>
  <c r="K30" i="2" s="1"/>
  <c r="O26" i="2"/>
  <c r="O30" i="2" s="1"/>
  <c r="L26" i="2"/>
  <c r="L30" i="2" s="1"/>
  <c r="R26" i="2"/>
  <c r="R30" i="2" s="1"/>
  <c r="M26" i="2"/>
  <c r="M30" i="2" s="1"/>
  <c r="G29" i="2" l="1"/>
  <c r="G30" i="2"/>
  <c r="G32" i="2" l="1"/>
  <c r="G33" i="2" s="1"/>
  <c r="J26" i="2"/>
  <c r="J30" i="2" s="1"/>
</calcChain>
</file>

<file path=xl/sharedStrings.xml><?xml version="1.0" encoding="utf-8"?>
<sst xmlns="http://schemas.openxmlformats.org/spreadsheetml/2006/main" count="80" uniqueCount="64">
  <si>
    <t>Terminal</t>
  </si>
  <si>
    <t>Current</t>
  </si>
  <si>
    <t>Transition Period</t>
  </si>
  <si>
    <t>High-Growth Period</t>
  </si>
  <si>
    <t>FCFE</t>
  </si>
  <si>
    <t>Riskfree Rate</t>
  </si>
  <si>
    <t>ERP</t>
  </si>
  <si>
    <t>Cost of Equity</t>
  </si>
  <si>
    <t>Stable Period</t>
  </si>
  <si>
    <t>Beta</t>
  </si>
  <si>
    <t>Tax Rate</t>
  </si>
  <si>
    <t>PV</t>
  </si>
  <si>
    <t>Growth</t>
  </si>
  <si>
    <t>High Growth</t>
  </si>
  <si>
    <t>Shares</t>
  </si>
  <si>
    <t>CapEx-Dep (Equity)</t>
  </si>
  <si>
    <t>Chg. Working Capitial (Equity)</t>
  </si>
  <si>
    <t>Depreciation</t>
  </si>
  <si>
    <t>Working Capital</t>
  </si>
  <si>
    <t>Net Income</t>
  </si>
  <si>
    <t>Effective Tax Rate</t>
  </si>
  <si>
    <t>BV Debt Current</t>
  </si>
  <si>
    <t>BV Equity Current</t>
  </si>
  <si>
    <t>Revenues</t>
  </si>
  <si>
    <t>EBIT Margin</t>
  </si>
  <si>
    <t>EBIT</t>
  </si>
  <si>
    <t>Interest</t>
  </si>
  <si>
    <t>Taxes</t>
  </si>
  <si>
    <t>High Growth Period</t>
  </si>
  <si>
    <t>EBIT Adj.</t>
  </si>
  <si>
    <t>CapEx</t>
  </si>
  <si>
    <t>Current Financials</t>
  </si>
  <si>
    <t>Debt / DE</t>
  </si>
  <si>
    <t>Period Length</t>
  </si>
  <si>
    <t>Cumulated Discount</t>
  </si>
  <si>
    <t>High-Growth PV</t>
  </si>
  <si>
    <t>Transition PV</t>
  </si>
  <si>
    <t>Terminal PV</t>
  </si>
  <si>
    <t>Total Value</t>
  </si>
  <si>
    <t>Stock Value</t>
  </si>
  <si>
    <t>Debt Mix</t>
  </si>
  <si>
    <t>Debt Interest</t>
  </si>
  <si>
    <t>DCF Valuation</t>
  </si>
  <si>
    <t xml:space="preserve">   Curry Invest</t>
  </si>
  <si>
    <t xml:space="preserve">   Supporting Figures</t>
  </si>
  <si>
    <t>Year</t>
  </si>
  <si>
    <t>Normalized EBIT</t>
  </si>
  <si>
    <t>Non-Recurring Expenses</t>
  </si>
  <si>
    <t>Interest Coverage Ratio</t>
  </si>
  <si>
    <t>Net Capex / Revenue Ratio</t>
  </si>
  <si>
    <t>Net CapEx / Revenues</t>
  </si>
  <si>
    <t>Non-Cash WC / Revenues</t>
  </si>
  <si>
    <t>WC / Revenue Ratio</t>
  </si>
  <si>
    <t>Interest Bearing Debt</t>
  </si>
  <si>
    <t>Cash Flow</t>
  </si>
  <si>
    <t>Revenue</t>
  </si>
  <si>
    <t>Final Value</t>
  </si>
  <si>
    <t xml:space="preserve">   Celsius Holdings, Inc. (CELH) FCFE 3 Stage Valuation</t>
  </si>
  <si>
    <t>May 15 2024</t>
  </si>
  <si>
    <t>Change WC</t>
  </si>
  <si>
    <t>Diluted</t>
  </si>
  <si>
    <t>Equity Risk Premium - Netflix</t>
  </si>
  <si>
    <t>Output from Damodaran at nyu.edu</t>
  </si>
  <si>
    <t>Year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</si>
</sst>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7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7"/>
      <color rgb="FFCE9178"/>
      <name val="Consolas"/>
      <family val="3"/>
    </font>
    <font>
      <b/>
      <sz val="48"/>
      <color theme="0"/>
      <name val="Aptos Narrow"/>
      <family val="2"/>
      <scheme val="minor"/>
    </font>
    <font>
      <i/>
      <sz val="8"/>
      <name val="Aptos Narrow"/>
      <family val="2"/>
      <scheme val="minor"/>
    </font>
    <font>
      <sz val="8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9193D"/>
        <bgColor indexed="64"/>
      </patternFill>
    </fill>
    <fill>
      <patternFill patternType="solid">
        <fgColor rgb="FFA67EBC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37" fontId="3" fillId="0" borderId="0"/>
  </cellStyleXfs>
  <cellXfs count="54">
    <xf numFmtId="0" fontId="0" fillId="0" borderId="0" xfId="0"/>
    <xf numFmtId="0" fontId="0" fillId="0" borderId="1" xfId="0" applyBorder="1"/>
    <xf numFmtId="10" fontId="0" fillId="0" borderId="0" xfId="0" applyNumberFormat="1"/>
    <xf numFmtId="10" fontId="0" fillId="0" borderId="0" xfId="1" applyNumberFormat="1" applyFont="1"/>
    <xf numFmtId="37" fontId="3" fillId="0" borderId="0" xfId="2"/>
    <xf numFmtId="37" fontId="3" fillId="0" borderId="1" xfId="2" applyBorder="1"/>
    <xf numFmtId="0" fontId="1" fillId="0" borderId="1" xfId="0" applyFont="1" applyBorder="1"/>
    <xf numFmtId="37" fontId="0" fillId="0" borderId="0" xfId="0" applyNumberFormat="1"/>
    <xf numFmtId="10" fontId="1" fillId="0" borderId="1" xfId="1" applyNumberFormat="1" applyFont="1" applyBorder="1"/>
    <xf numFmtId="0" fontId="1" fillId="0" borderId="0" xfId="0" applyFont="1"/>
    <xf numFmtId="0" fontId="4" fillId="0" borderId="0" xfId="0" applyFont="1"/>
    <xf numFmtId="10" fontId="4" fillId="0" borderId="0" xfId="0" applyNumberFormat="1" applyFont="1"/>
    <xf numFmtId="37" fontId="4" fillId="0" borderId="0" xfId="2" applyFont="1"/>
    <xf numFmtId="10" fontId="4" fillId="0" borderId="0" xfId="1" applyNumberFormat="1" applyFont="1"/>
    <xf numFmtId="9" fontId="4" fillId="0" borderId="0" xfId="0" applyNumberFormat="1" applyFont="1"/>
    <xf numFmtId="37" fontId="4" fillId="0" borderId="0" xfId="0" applyNumberFormat="1" applyFont="1"/>
    <xf numFmtId="0" fontId="5" fillId="0" borderId="0" xfId="0" applyFont="1"/>
    <xf numFmtId="0" fontId="6" fillId="0" borderId="0" xfId="0" applyFont="1"/>
    <xf numFmtId="10" fontId="5" fillId="0" borderId="0" xfId="0" applyNumberFormat="1" applyFont="1"/>
    <xf numFmtId="10" fontId="5" fillId="0" borderId="0" xfId="1" applyNumberFormat="1" applyFont="1"/>
    <xf numFmtId="10" fontId="4" fillId="2" borderId="0" xfId="1" applyNumberFormat="1" applyFont="1" applyFill="1"/>
    <xf numFmtId="10" fontId="5" fillId="2" borderId="0" xfId="1" applyNumberFormat="1" applyFont="1" applyFill="1"/>
    <xf numFmtId="0" fontId="0" fillId="3" borderId="0" xfId="0" applyFill="1"/>
    <xf numFmtId="0" fontId="8" fillId="3" borderId="0" xfId="0" applyFont="1" applyFill="1" applyAlignment="1">
      <alignment vertical="center"/>
    </xf>
    <xf numFmtId="0" fontId="6" fillId="0" borderId="1" xfId="0" applyFont="1" applyBorder="1"/>
    <xf numFmtId="37" fontId="4" fillId="0" borderId="1" xfId="2" applyFont="1" applyBorder="1"/>
    <xf numFmtId="10" fontId="5" fillId="0" borderId="1" xfId="1" applyNumberFormat="1" applyFont="1" applyBorder="1"/>
    <xf numFmtId="0" fontId="5" fillId="0" borderId="1" xfId="0" applyFont="1" applyBorder="1"/>
    <xf numFmtId="0" fontId="0" fillId="2" borderId="0" xfId="0" applyFill="1"/>
    <xf numFmtId="9" fontId="0" fillId="2" borderId="0" xfId="0" applyNumberFormat="1" applyFill="1"/>
    <xf numFmtId="10" fontId="0" fillId="2" borderId="0" xfId="0" applyNumberFormat="1" applyFill="1"/>
    <xf numFmtId="2" fontId="4" fillId="0" borderId="0" xfId="0" applyNumberFormat="1" applyFont="1"/>
    <xf numFmtId="39" fontId="4" fillId="0" borderId="0" xfId="0" applyNumberFormat="1" applyFont="1"/>
    <xf numFmtId="10" fontId="5" fillId="0" borderId="0" xfId="1" applyNumberFormat="1" applyFont="1" applyFill="1"/>
    <xf numFmtId="10" fontId="5" fillId="0" borderId="1" xfId="1" applyNumberFormat="1" applyFont="1" applyFill="1" applyBorder="1"/>
    <xf numFmtId="10" fontId="5" fillId="0" borderId="1" xfId="0" applyNumberFormat="1" applyFont="1" applyBorder="1"/>
    <xf numFmtId="39" fontId="10" fillId="0" borderId="0" xfId="2" applyNumberFormat="1" applyFont="1"/>
    <xf numFmtId="37" fontId="11" fillId="0" borderId="1" xfId="2" applyFont="1" applyBorder="1"/>
    <xf numFmtId="37" fontId="11" fillId="0" borderId="0" xfId="2" applyFont="1"/>
    <xf numFmtId="0" fontId="1" fillId="4" borderId="0" xfId="0" applyFont="1" applyFill="1"/>
    <xf numFmtId="2" fontId="1" fillId="4" borderId="0" xfId="0" applyNumberFormat="1" applyFont="1" applyFill="1"/>
    <xf numFmtId="37" fontId="2" fillId="0" borderId="1" xfId="2" applyFont="1" applyBorder="1"/>
    <xf numFmtId="10" fontId="2" fillId="0" borderId="0" xfId="0" applyNumberFormat="1" applyFont="1"/>
    <xf numFmtId="37" fontId="2" fillId="0" borderId="0" xfId="2" applyFont="1"/>
    <xf numFmtId="10" fontId="2" fillId="0" borderId="1" xfId="0" applyNumberFormat="1" applyFont="1" applyBorder="1"/>
    <xf numFmtId="2" fontId="2" fillId="0" borderId="1" xfId="0" applyNumberFormat="1" applyFont="1" applyBorder="1"/>
    <xf numFmtId="0" fontId="0" fillId="5" borderId="0" xfId="0" applyFill="1"/>
    <xf numFmtId="0" fontId="7" fillId="5" borderId="0" xfId="0" applyFont="1" applyFill="1"/>
    <xf numFmtId="0" fontId="9" fillId="5" borderId="0" xfId="0" applyFont="1" applyFill="1" applyAlignment="1">
      <alignment horizontal="left" vertical="center"/>
    </xf>
    <xf numFmtId="0" fontId="0" fillId="6" borderId="0" xfId="0" applyFill="1"/>
    <xf numFmtId="0" fontId="1" fillId="7" borderId="0" xfId="0" applyFont="1" applyFill="1"/>
    <xf numFmtId="0" fontId="0" fillId="7" borderId="0" xfId="0" applyFill="1"/>
    <xf numFmtId="0" fontId="12" fillId="7" borderId="0" xfId="0" applyFont="1" applyFill="1"/>
    <xf numFmtId="0" fontId="13" fillId="0" borderId="0" xfId="0" applyFont="1"/>
  </cellXfs>
  <cellStyles count="3">
    <cellStyle name="Account Basic" xfId="2" xr:uid="{08D7D3D4-4980-4DC9-800C-F68D4F37AC46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9193D"/>
      <color rgb="FFA67EBC"/>
      <color rgb="FF0E05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353842</xdr:colOff>
      <xdr:row>0</xdr:row>
      <xdr:rowOff>257173</xdr:rowOff>
    </xdr:from>
    <xdr:to>
      <xdr:col>3</xdr:col>
      <xdr:colOff>368300</xdr:colOff>
      <xdr:row>3</xdr:row>
      <xdr:rowOff>485673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2CF909-0706-CC44-B90C-0549B3F09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7" y="257173"/>
          <a:ext cx="1503533" cy="149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736600</xdr:colOff>
      <xdr:row>1</xdr:row>
      <xdr:rowOff>69850</xdr:rowOff>
    </xdr:from>
    <xdr:to>
      <xdr:col>8</xdr:col>
      <xdr:colOff>819150</xdr:colOff>
      <xdr:row>3</xdr:row>
      <xdr:rowOff>172730</xdr:rowOff>
    </xdr:to>
    <xdr:pic>
      <xdr:nvPicPr>
        <xdr:cNvPr id="2" name="Picture 1" descr="CELSIUS® Launches in Singapore - Celsius Holdings Inc.">
          <a:extLst>
            <a:ext uri="{FF2B5EF4-FFF2-40B4-BE49-F238E27FC236}">
              <a16:creationId xmlns:a16="http://schemas.microsoft.com/office/drawing/2014/main" id="{A6B69321-7E47-A51C-FC57-B0A07D93C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4250" y="254000"/>
          <a:ext cx="1250950" cy="610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139699</xdr:colOff>
      <xdr:row>6</xdr:row>
      <xdr:rowOff>152400</xdr:rowOff>
    </xdr:from>
    <xdr:to>
      <xdr:col>12</xdr:col>
      <xdr:colOff>342900</xdr:colOff>
      <xdr:row>22</xdr:row>
      <xdr:rowOff>58130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01DE05-BA54-E20A-065A-49CA090E6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49" y="1835150"/>
          <a:ext cx="6299201" cy="2852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371BB-5FB6-4ED8-ACE0-66E052CBFD0C}">
  <sheetPr>
    <tabColor theme="8" tint="0.39997558519241921"/>
  </sheetPr>
  <dimension ref="A1:M24"/>
  <sheetViews>
    <sheetView showGridLines="0" workbookViewId="0">
      <selection activeCell="H22" sqref="H22"/>
    </sheetView>
  </sheetViews>
  <sheetFormatPr defaultRowHeight="14.5" x14ac:dyDescent="0.35"/>
  <cols>
    <col min="1" max="1" width="5.6328125" customWidth="1"/>
    <col min="2" max="4" width="10.6328125" style="49" customWidth="1"/>
    <col min="5" max="16384" width="8.7265625" style="22"/>
  </cols>
  <sheetData>
    <row r="1" spans="2:13" customFormat="1" ht="20" customHeight="1" x14ac:dyDescent="0.35">
      <c r="B1" s="49"/>
      <c r="C1" s="49"/>
      <c r="D1" s="49"/>
    </row>
    <row r="2" spans="2:13" s="46" customFormat="1" ht="40" customHeight="1" x14ac:dyDescent="0.35">
      <c r="B2" s="49"/>
      <c r="C2" s="49"/>
      <c r="D2" s="49"/>
      <c r="E2" s="48" t="s">
        <v>43</v>
      </c>
      <c r="F2" s="48"/>
      <c r="G2" s="48"/>
      <c r="H2" s="48"/>
      <c r="I2" s="48"/>
      <c r="J2" s="48"/>
      <c r="K2" s="48"/>
      <c r="L2" s="48"/>
      <c r="M2" s="48"/>
    </row>
    <row r="3" spans="2:13" s="46" customFormat="1" ht="40" customHeight="1" x14ac:dyDescent="0.35">
      <c r="B3" s="49"/>
      <c r="C3" s="49"/>
      <c r="D3" s="49"/>
      <c r="E3" s="48"/>
      <c r="F3" s="48"/>
      <c r="G3" s="48"/>
      <c r="H3" s="48"/>
      <c r="I3" s="48"/>
      <c r="J3" s="48"/>
      <c r="K3" s="48"/>
      <c r="L3" s="48"/>
      <c r="M3" s="48"/>
    </row>
    <row r="4" spans="2:13" s="46" customFormat="1" ht="40" customHeight="1" x14ac:dyDescent="0.35">
      <c r="B4" s="49"/>
      <c r="C4" s="49"/>
      <c r="D4" s="49"/>
      <c r="E4" s="48"/>
      <c r="F4" s="48"/>
      <c r="G4" s="48"/>
      <c r="H4" s="48"/>
      <c r="I4" s="48"/>
      <c r="J4" s="48"/>
      <c r="K4" s="48"/>
      <c r="L4" s="48"/>
      <c r="M4" s="48"/>
    </row>
    <row r="24" spans="9:9" x14ac:dyDescent="0.35">
      <c r="I24" s="23"/>
    </row>
  </sheetData>
  <mergeCells count="1">
    <mergeCell ref="E2:M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5F132-65D4-4A8D-BBB2-74965D70DB42}">
  <sheetPr>
    <tabColor theme="7" tint="0.39997558519241921"/>
  </sheetPr>
  <dimension ref="B2:V70"/>
  <sheetViews>
    <sheetView showGridLines="0" tabSelected="1" topLeftCell="C1" workbookViewId="0">
      <selection activeCell="I31" sqref="I31"/>
    </sheetView>
  </sheetViews>
  <sheetFormatPr defaultRowHeight="14.5" x14ac:dyDescent="0.35"/>
  <cols>
    <col min="1" max="1" width="5.1796875" customWidth="1"/>
    <col min="2" max="2" width="2.6328125" customWidth="1"/>
    <col min="3" max="3" width="23.81640625" bestFit="1" customWidth="1"/>
    <col min="4" max="4" width="10.54296875" bestFit="1" customWidth="1"/>
    <col min="5" max="5" width="5.1796875" customWidth="1"/>
    <col min="6" max="6" width="28.90625" bestFit="1" customWidth="1"/>
    <col min="7" max="7" width="11.54296875" bestFit="1" customWidth="1"/>
    <col min="8" max="8" width="5.1796875" customWidth="1"/>
    <col min="9" max="9" width="19.90625" bestFit="1" customWidth="1"/>
    <col min="10" max="21" width="10.6328125" customWidth="1"/>
    <col min="22" max="22" width="5.1796875" customWidth="1"/>
  </cols>
  <sheetData>
    <row r="2" spans="2:22" ht="20" customHeight="1" x14ac:dyDescent="0.35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2:22" ht="20" customHeight="1" x14ac:dyDescent="0.55000000000000004">
      <c r="B3" s="47" t="s">
        <v>57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2:22" ht="20" customHeight="1" x14ac:dyDescent="0.35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</row>
    <row r="6" spans="2:22" x14ac:dyDescent="0.35">
      <c r="C6" s="9" t="s">
        <v>58</v>
      </c>
    </row>
    <row r="8" spans="2:22" x14ac:dyDescent="0.35">
      <c r="C8" s="6" t="s">
        <v>33</v>
      </c>
      <c r="D8" s="1"/>
      <c r="F8" s="6" t="s">
        <v>54</v>
      </c>
      <c r="G8" s="1"/>
      <c r="I8" s="9" t="s">
        <v>42</v>
      </c>
    </row>
    <row r="9" spans="2:22" x14ac:dyDescent="0.35">
      <c r="C9" t="s">
        <v>28</v>
      </c>
      <c r="D9" s="28">
        <v>5</v>
      </c>
      <c r="F9" t="s">
        <v>30</v>
      </c>
      <c r="G9" s="43">
        <v>19705</v>
      </c>
      <c r="I9" s="10"/>
      <c r="J9" s="17" t="s">
        <v>1</v>
      </c>
      <c r="K9" s="17" t="s">
        <v>3</v>
      </c>
      <c r="L9" s="17"/>
      <c r="M9" s="17"/>
      <c r="N9" s="17"/>
      <c r="O9" s="17"/>
      <c r="P9" s="17" t="s">
        <v>2</v>
      </c>
      <c r="Q9" s="10"/>
      <c r="R9" s="11"/>
      <c r="S9" s="10"/>
      <c r="T9" s="53" t="s">
        <v>63</v>
      </c>
      <c r="U9" s="10"/>
    </row>
    <row r="10" spans="2:22" x14ac:dyDescent="0.35">
      <c r="C10" t="s">
        <v>2</v>
      </c>
      <c r="D10" s="28">
        <v>5</v>
      </c>
      <c r="F10" t="s">
        <v>17</v>
      </c>
      <c r="G10" s="43">
        <v>3226</v>
      </c>
      <c r="I10" s="24" t="s">
        <v>45</v>
      </c>
      <c r="J10" s="27">
        <v>0</v>
      </c>
      <c r="K10" s="27">
        <v>1</v>
      </c>
      <c r="L10" s="27">
        <v>2</v>
      </c>
      <c r="M10" s="27">
        <v>3</v>
      </c>
      <c r="N10" s="27">
        <v>4</v>
      </c>
      <c r="O10" s="27">
        <v>5</v>
      </c>
      <c r="P10" s="27">
        <v>1</v>
      </c>
      <c r="Q10" s="27">
        <v>2</v>
      </c>
      <c r="R10" s="27">
        <v>3</v>
      </c>
      <c r="S10" s="27">
        <v>4</v>
      </c>
      <c r="T10" s="27">
        <v>5</v>
      </c>
      <c r="U10" s="24" t="s">
        <v>0</v>
      </c>
    </row>
    <row r="11" spans="2:22" x14ac:dyDescent="0.35">
      <c r="F11" t="s">
        <v>18</v>
      </c>
      <c r="G11" s="43">
        <v>928291</v>
      </c>
      <c r="I11" s="17" t="s">
        <v>23</v>
      </c>
      <c r="J11" s="38">
        <f>D36</f>
        <v>1318014</v>
      </c>
      <c r="K11" s="12">
        <f>J11*(1+K12)</f>
        <v>1687057.92</v>
      </c>
      <c r="L11" s="12">
        <f t="shared" ref="L11:T11" si="0">K11*(1+L12)</f>
        <v>2159434.1376</v>
      </c>
      <c r="M11" s="12">
        <f t="shared" si="0"/>
        <v>2764075.696128</v>
      </c>
      <c r="N11" s="12">
        <f t="shared" si="0"/>
        <v>3538016.89104384</v>
      </c>
      <c r="O11" s="12">
        <f t="shared" si="0"/>
        <v>4528661.620536115</v>
      </c>
      <c r="P11" s="12">
        <f t="shared" si="0"/>
        <v>5402548.2745428607</v>
      </c>
      <c r="Q11" s="12">
        <f t="shared" si="0"/>
        <v>6121022.3386698989</v>
      </c>
      <c r="R11" s="12">
        <f t="shared" si="0"/>
        <v>6682023.3026193073</v>
      </c>
      <c r="S11" s="12">
        <f t="shared" si="0"/>
        <v>7104083.9228119375</v>
      </c>
      <c r="T11" s="12">
        <f t="shared" si="0"/>
        <v>7413328.5294522913</v>
      </c>
      <c r="U11" s="12">
        <f>T11*(1+U12)/($U$28-U12)</f>
        <v>161106679.06171346</v>
      </c>
    </row>
    <row r="12" spans="2:22" x14ac:dyDescent="0.35">
      <c r="C12" s="6" t="s">
        <v>13</v>
      </c>
      <c r="D12" s="1"/>
      <c r="F12" t="s">
        <v>59</v>
      </c>
      <c r="G12" s="43">
        <v>171615</v>
      </c>
      <c r="I12" s="16" t="s">
        <v>12</v>
      </c>
      <c r="J12" s="18"/>
      <c r="K12" s="18">
        <f>$D$13</f>
        <v>0.28000000000000003</v>
      </c>
      <c r="L12" s="18">
        <f>$D$13</f>
        <v>0.28000000000000003</v>
      </c>
      <c r="M12" s="18">
        <f>$D$13</f>
        <v>0.28000000000000003</v>
      </c>
      <c r="N12" s="18">
        <f>$D$13</f>
        <v>0.28000000000000003</v>
      </c>
      <c r="O12" s="18">
        <f>$D$13</f>
        <v>0.28000000000000003</v>
      </c>
      <c r="P12" s="18">
        <f t="shared" ref="P12:T13" si="1">($U12/$O12)^(1/($D$10+1))*O12</f>
        <v>0.19296797315214115</v>
      </c>
      <c r="Q12" s="18">
        <f t="shared" si="1"/>
        <v>0.13298799522301952</v>
      </c>
      <c r="R12" s="18">
        <f t="shared" si="1"/>
        <v>9.1651513899116799E-2</v>
      </c>
      <c r="S12" s="18">
        <f t="shared" si="1"/>
        <v>6.3163595976563791E-2</v>
      </c>
      <c r="T12" s="18">
        <f t="shared" si="1"/>
        <v>4.3530539616422323E-2</v>
      </c>
      <c r="U12" s="18">
        <f>D22</f>
        <v>0.03</v>
      </c>
    </row>
    <row r="13" spans="2:22" x14ac:dyDescent="0.35">
      <c r="C13" t="s">
        <v>12</v>
      </c>
      <c r="D13" s="2">
        <v>0.28000000000000003</v>
      </c>
      <c r="I13" s="17" t="s">
        <v>24</v>
      </c>
      <c r="J13" s="13">
        <f>J14/J11</f>
        <v>0.23227370877699327</v>
      </c>
      <c r="K13" s="11">
        <f>$D$15</f>
        <v>0.24</v>
      </c>
      <c r="L13" s="11">
        <f t="shared" ref="L13:O13" si="2">$D$15</f>
        <v>0.24</v>
      </c>
      <c r="M13" s="11">
        <f t="shared" si="2"/>
        <v>0.24</v>
      </c>
      <c r="N13" s="11">
        <f t="shared" si="2"/>
        <v>0.24</v>
      </c>
      <c r="O13" s="11">
        <f t="shared" si="2"/>
        <v>0.24</v>
      </c>
      <c r="P13" s="18">
        <f t="shared" si="1"/>
        <v>0.24163844718402044</v>
      </c>
      <c r="Q13" s="18">
        <f t="shared" si="1"/>
        <v>0.24328807982293599</v>
      </c>
      <c r="R13" s="18">
        <f t="shared" si="1"/>
        <v>0.24494897427831777</v>
      </c>
      <c r="S13" s="18">
        <f t="shared" si="1"/>
        <v>0.24662120743304697</v>
      </c>
      <c r="T13" s="18">
        <f t="shared" si="1"/>
        <v>0.24830485669487362</v>
      </c>
      <c r="U13" s="11">
        <f>D24</f>
        <v>0.25</v>
      </c>
    </row>
    <row r="14" spans="2:22" x14ac:dyDescent="0.35">
      <c r="C14" t="s">
        <v>7</v>
      </c>
      <c r="D14" s="2">
        <f>D33</f>
        <v>0.12910016000000002</v>
      </c>
      <c r="F14" s="6" t="s">
        <v>40</v>
      </c>
      <c r="G14" s="6"/>
      <c r="I14" s="24" t="s">
        <v>25</v>
      </c>
      <c r="J14" s="25">
        <f>G26</f>
        <v>306140</v>
      </c>
      <c r="K14" s="25">
        <f>K11*K13</f>
        <v>404893.90079999994</v>
      </c>
      <c r="L14" s="25">
        <f t="shared" ref="L14:U14" si="3">L11*L13</f>
        <v>518264.19302399998</v>
      </c>
      <c r="M14" s="25">
        <f t="shared" si="3"/>
        <v>663378.16707072</v>
      </c>
      <c r="N14" s="25">
        <f t="shared" si="3"/>
        <v>849124.05385052157</v>
      </c>
      <c r="O14" s="25">
        <f t="shared" si="3"/>
        <v>1086878.7889286675</v>
      </c>
      <c r="P14" s="25">
        <f t="shared" si="3"/>
        <v>1305463.3758972457</v>
      </c>
      <c r="Q14" s="25">
        <f t="shared" si="3"/>
        <v>1489171.7713282967</v>
      </c>
      <c r="R14" s="25">
        <f t="shared" si="3"/>
        <v>1636754.7540804166</v>
      </c>
      <c r="S14" s="25">
        <f t="shared" si="3"/>
        <v>1752017.7547495768</v>
      </c>
      <c r="T14" s="25">
        <f t="shared" si="3"/>
        <v>1840765.4781376694</v>
      </c>
      <c r="U14" s="25">
        <f t="shared" si="3"/>
        <v>40276669.765428364</v>
      </c>
    </row>
    <row r="15" spans="2:22" x14ac:dyDescent="0.35">
      <c r="C15" t="s">
        <v>24</v>
      </c>
      <c r="D15" s="30">
        <v>0.24</v>
      </c>
      <c r="F15" t="s">
        <v>21</v>
      </c>
      <c r="G15" s="43">
        <v>2187</v>
      </c>
      <c r="I15" s="17" t="s">
        <v>53</v>
      </c>
      <c r="J15" s="38">
        <f>G15</f>
        <v>2187</v>
      </c>
      <c r="K15" s="12">
        <f>J15*(1+K16)</f>
        <v>2799.36</v>
      </c>
      <c r="L15" s="12">
        <f t="shared" ref="L15:T15" si="4">K15*(1+L16)</f>
        <v>3583.1808000000001</v>
      </c>
      <c r="M15" s="12">
        <f t="shared" si="4"/>
        <v>4586.4714240000003</v>
      </c>
      <c r="N15" s="12">
        <f t="shared" si="4"/>
        <v>5870.6834227200006</v>
      </c>
      <c r="O15" s="12">
        <f t="shared" si="4"/>
        <v>7514.4747810816007</v>
      </c>
      <c r="P15" s="12">
        <f t="shared" si="4"/>
        <v>8602.0145069377468</v>
      </c>
      <c r="Q15" s="12">
        <f t="shared" si="4"/>
        <v>9459.9880050554839</v>
      </c>
      <c r="R15" s="12">
        <f t="shared" si="4"/>
        <v>10110.2546716536</v>
      </c>
      <c r="S15" s="12">
        <f t="shared" si="4"/>
        <v>10589.204702628971</v>
      </c>
      <c r="T15" s="12">
        <f t="shared" si="4"/>
        <v>10934.920048739617</v>
      </c>
      <c r="U15" s="12">
        <f>T15*(1+U16)/($U$28-U16)</f>
        <v>237638.01211005365</v>
      </c>
    </row>
    <row r="16" spans="2:22" x14ac:dyDescent="0.35">
      <c r="C16" t="s">
        <v>50</v>
      </c>
      <c r="D16" s="30">
        <v>1.4999999999999999E-2</v>
      </c>
      <c r="F16" t="s">
        <v>22</v>
      </c>
      <c r="G16" s="43">
        <v>1088528</v>
      </c>
      <c r="I16" s="16" t="s">
        <v>12</v>
      </c>
      <c r="J16" s="19"/>
      <c r="K16" s="21">
        <f>K12</f>
        <v>0.28000000000000003</v>
      </c>
      <c r="L16" s="21">
        <f t="shared" ref="L16:O16" si="5">L12</f>
        <v>0.28000000000000003</v>
      </c>
      <c r="M16" s="21">
        <f t="shared" si="5"/>
        <v>0.28000000000000003</v>
      </c>
      <c r="N16" s="21">
        <f t="shared" si="5"/>
        <v>0.28000000000000003</v>
      </c>
      <c r="O16" s="21">
        <f t="shared" si="5"/>
        <v>0.28000000000000003</v>
      </c>
      <c r="P16" s="21">
        <f>P12*0.75</f>
        <v>0.14472597986410585</v>
      </c>
      <c r="Q16" s="21">
        <f t="shared" ref="Q16:T16" si="6">Q12*0.75</f>
        <v>9.9740996417264638E-2</v>
      </c>
      <c r="R16" s="21">
        <f t="shared" si="6"/>
        <v>6.8738635424337599E-2</v>
      </c>
      <c r="S16" s="21">
        <f t="shared" si="6"/>
        <v>4.7372696982422843E-2</v>
      </c>
      <c r="T16" s="21">
        <f t="shared" si="6"/>
        <v>3.2647904712316739E-2</v>
      </c>
      <c r="U16" s="21">
        <f t="shared" ref="U16" si="7">U12</f>
        <v>0.03</v>
      </c>
    </row>
    <row r="17" spans="3:21" x14ac:dyDescent="0.35">
      <c r="C17" t="s">
        <v>51</v>
      </c>
      <c r="D17" s="30">
        <v>2.3E-2</v>
      </c>
      <c r="F17" s="1" t="s">
        <v>20</v>
      </c>
      <c r="G17" s="44">
        <v>0.223</v>
      </c>
      <c r="I17" s="17" t="s">
        <v>41</v>
      </c>
      <c r="J17" s="20">
        <f>$D$30+0.0059</f>
        <v>4.9420000000000006E-2</v>
      </c>
      <c r="K17" s="20">
        <f>$D$30+0.0059</f>
        <v>4.9420000000000006E-2</v>
      </c>
      <c r="L17" s="20">
        <f>$D$30+0.0059</f>
        <v>4.9420000000000006E-2</v>
      </c>
      <c r="M17" s="20">
        <f>$D$30+0.0059</f>
        <v>4.9420000000000006E-2</v>
      </c>
      <c r="N17" s="20">
        <f>$D$30+0.0059</f>
        <v>4.9420000000000006E-2</v>
      </c>
      <c r="O17" s="20">
        <f>$D$30+0.0059</f>
        <v>4.9420000000000006E-2</v>
      </c>
      <c r="P17" s="20">
        <f>$D$30+0.0059</f>
        <v>4.9420000000000006E-2</v>
      </c>
      <c r="Q17" s="20">
        <f>$D$30+0.0059</f>
        <v>4.9420000000000006E-2</v>
      </c>
      <c r="R17" s="20">
        <f>$D$30+0.0059</f>
        <v>4.9420000000000006E-2</v>
      </c>
      <c r="S17" s="20">
        <f>$D$30+0.0059</f>
        <v>4.9420000000000006E-2</v>
      </c>
      <c r="T17" s="20">
        <f>$D$30+0.0059</f>
        <v>4.9420000000000006E-2</v>
      </c>
      <c r="U17" s="20">
        <f>$D$30+0.0059</f>
        <v>4.9420000000000006E-2</v>
      </c>
    </row>
    <row r="18" spans="3:21" x14ac:dyDescent="0.35">
      <c r="F18" t="s">
        <v>32</v>
      </c>
      <c r="G18" s="3">
        <f>G15/(G15+G16)</f>
        <v>2.0051067419078312E-3</v>
      </c>
      <c r="I18" s="16" t="s">
        <v>48</v>
      </c>
      <c r="J18" s="36">
        <f t="shared" ref="J18:U18" si="8">J14/J19</f>
        <v>2832.4910988499973</v>
      </c>
      <c r="K18" s="36">
        <f t="shared" si="8"/>
        <v>2926.7103336980572</v>
      </c>
      <c r="L18" s="36">
        <f t="shared" si="8"/>
        <v>2926.7103336980572</v>
      </c>
      <c r="M18" s="36">
        <f t="shared" si="8"/>
        <v>2926.7103336980572</v>
      </c>
      <c r="N18" s="36">
        <f t="shared" si="8"/>
        <v>2926.7103336980572</v>
      </c>
      <c r="O18" s="36">
        <f t="shared" si="8"/>
        <v>2926.7103336980572</v>
      </c>
      <c r="P18" s="36">
        <f t="shared" si="8"/>
        <v>3070.8724677259561</v>
      </c>
      <c r="Q18" s="36">
        <f t="shared" si="8"/>
        <v>3185.3082641253459</v>
      </c>
      <c r="R18" s="36">
        <f t="shared" si="8"/>
        <v>3275.8105300310854</v>
      </c>
      <c r="S18" s="36">
        <f t="shared" si="8"/>
        <v>3347.8995426090964</v>
      </c>
      <c r="T18" s="36">
        <f t="shared" si="8"/>
        <v>3406.2781433243713</v>
      </c>
      <c r="U18" s="36">
        <f t="shared" si="8"/>
        <v>3429.532338457373</v>
      </c>
    </row>
    <row r="19" spans="3:21" x14ac:dyDescent="0.35">
      <c r="C19" s="6" t="s">
        <v>8</v>
      </c>
      <c r="D19" s="1"/>
      <c r="I19" s="24" t="s">
        <v>26</v>
      </c>
      <c r="J19" s="37">
        <f t="shared" ref="J19:U19" si="9">J15*J17</f>
        <v>108.08154000000002</v>
      </c>
      <c r="K19" s="37">
        <f t="shared" si="9"/>
        <v>138.34437120000001</v>
      </c>
      <c r="L19" s="37">
        <f t="shared" si="9"/>
        <v>177.08079513600003</v>
      </c>
      <c r="M19" s="37">
        <f t="shared" si="9"/>
        <v>226.66341777408005</v>
      </c>
      <c r="N19" s="37">
        <f t="shared" si="9"/>
        <v>290.12917475082247</v>
      </c>
      <c r="O19" s="37">
        <f t="shared" si="9"/>
        <v>371.36534368105276</v>
      </c>
      <c r="P19" s="37">
        <f t="shared" si="9"/>
        <v>425.11155693286349</v>
      </c>
      <c r="Q19" s="37">
        <f t="shared" si="9"/>
        <v>467.51260720984209</v>
      </c>
      <c r="R19" s="37">
        <f t="shared" si="9"/>
        <v>499.64878587312097</v>
      </c>
      <c r="S19" s="37">
        <f t="shared" si="9"/>
        <v>523.31849640392386</v>
      </c>
      <c r="T19" s="37">
        <f t="shared" si="9"/>
        <v>540.40374880871195</v>
      </c>
      <c r="U19" s="37">
        <f t="shared" si="9"/>
        <v>11744.070558478852</v>
      </c>
    </row>
    <row r="20" spans="3:21" x14ac:dyDescent="0.35">
      <c r="C20" t="s">
        <v>9</v>
      </c>
      <c r="D20" s="28">
        <v>0.76</v>
      </c>
      <c r="F20" s="6" t="s">
        <v>14</v>
      </c>
      <c r="G20" s="1"/>
      <c r="I20" s="17" t="s">
        <v>27</v>
      </c>
      <c r="J20" s="11">
        <f t="shared" ref="J20:O20" si="10">$G$17</f>
        <v>0.223</v>
      </c>
      <c r="K20" s="11">
        <f t="shared" si="10"/>
        <v>0.223</v>
      </c>
      <c r="L20" s="11">
        <f t="shared" si="10"/>
        <v>0.223</v>
      </c>
      <c r="M20" s="11">
        <f t="shared" si="10"/>
        <v>0.223</v>
      </c>
      <c r="N20" s="11">
        <f t="shared" si="10"/>
        <v>0.223</v>
      </c>
      <c r="O20" s="11">
        <f t="shared" si="10"/>
        <v>0.223</v>
      </c>
      <c r="P20" s="11">
        <f>($U20/$O20)^(1/($D$10+1))*O20</f>
        <v>0.22077874908160949</v>
      </c>
      <c r="Q20" s="11">
        <f>($U20/$O20)^(1/($D$10+1))*P20</f>
        <v>0.21857962352484434</v>
      </c>
      <c r="R20" s="11">
        <f>($U20/$O20)^(1/($D$10+1))*Q20</f>
        <v>0.21640240294414473</v>
      </c>
      <c r="S20" s="11">
        <f>($U20/$O20)^(1/($D$10+1))*R20</f>
        <v>0.21424686914916</v>
      </c>
      <c r="T20" s="11">
        <f>($U20/$O20)^(1/($D$10+1))*S20</f>
        <v>0.21211280612288258</v>
      </c>
      <c r="U20" s="14">
        <f>D21</f>
        <v>0.21</v>
      </c>
    </row>
    <row r="21" spans="3:21" x14ac:dyDescent="0.35">
      <c r="C21" t="s">
        <v>10</v>
      </c>
      <c r="D21" s="29">
        <v>0.21</v>
      </c>
      <c r="F21" t="s">
        <v>60</v>
      </c>
      <c r="G21" s="43">
        <v>236964</v>
      </c>
      <c r="I21" s="24" t="s">
        <v>19</v>
      </c>
      <c r="J21" s="25">
        <f t="shared" ref="J21:U21" si="11">(J14-J19)-J20*(J14-J19)</f>
        <v>237786.80064342002</v>
      </c>
      <c r="K21" s="25">
        <f t="shared" si="11"/>
        <v>314495.06734517752</v>
      </c>
      <c r="L21" s="25">
        <f t="shared" si="11"/>
        <v>402553.68620182731</v>
      </c>
      <c r="M21" s="25">
        <f t="shared" si="11"/>
        <v>515268.71833833889</v>
      </c>
      <c r="N21" s="25">
        <f t="shared" si="11"/>
        <v>659543.95947307383</v>
      </c>
      <c r="O21" s="25">
        <f t="shared" si="11"/>
        <v>844216.26812553452</v>
      </c>
      <c r="P21" s="25">
        <f t="shared" si="11"/>
        <v>1016913.5488356238</v>
      </c>
      <c r="Q21" s="25">
        <f t="shared" si="11"/>
        <v>1163303.8423099993</v>
      </c>
      <c r="R21" s="25">
        <f t="shared" si="11"/>
        <v>1282165.5686791798</v>
      </c>
      <c r="S21" s="25">
        <f t="shared" si="11"/>
        <v>1376242.2369537575</v>
      </c>
      <c r="T21" s="25">
        <f t="shared" si="11"/>
        <v>1449889.7699625492</v>
      </c>
      <c r="U21" s="25">
        <f t="shared" si="11"/>
        <v>31809291.298947208</v>
      </c>
    </row>
    <row r="22" spans="3:21" x14ac:dyDescent="0.35">
      <c r="C22" t="s">
        <v>12</v>
      </c>
      <c r="D22" s="30">
        <v>0.03</v>
      </c>
      <c r="I22" s="17" t="s">
        <v>15</v>
      </c>
      <c r="J22" s="15">
        <f>($G$9-$G$10)*(1-$G$18)</f>
        <v>16445.957846000103</v>
      </c>
      <c r="K22" s="15">
        <f t="shared" ref="K22:U22" si="12">K11*K23*(1-$G$18)</f>
        <v>25255.127831859281</v>
      </c>
      <c r="L22" s="15">
        <f t="shared" si="12"/>
        <v>32326.563624779883</v>
      </c>
      <c r="M22" s="15">
        <f t="shared" si="12"/>
        <v>41378.001439718253</v>
      </c>
      <c r="N22" s="15">
        <f t="shared" si="12"/>
        <v>52963.841842839363</v>
      </c>
      <c r="O22" s="15">
        <f t="shared" si="12"/>
        <v>67793.717558834382</v>
      </c>
      <c r="P22" s="15">
        <f t="shared" si="12"/>
        <v>97658.904880418428</v>
      </c>
      <c r="Q22" s="15">
        <f t="shared" si="12"/>
        <v>133607.48032365975</v>
      </c>
      <c r="R22" s="15">
        <f t="shared" si="12"/>
        <v>176119.89214432242</v>
      </c>
      <c r="S22" s="15">
        <f t="shared" si="12"/>
        <v>226100.81295871703</v>
      </c>
      <c r="T22" s="15">
        <f t="shared" si="12"/>
        <v>284905.54579102236</v>
      </c>
      <c r="U22" s="15">
        <f t="shared" si="12"/>
        <v>7476439.3982612602</v>
      </c>
    </row>
    <row r="23" spans="3:21" x14ac:dyDescent="0.35">
      <c r="C23" t="s">
        <v>7</v>
      </c>
      <c r="D23" s="2">
        <f>D30+D20*D31</f>
        <v>7.7395480000000003E-2</v>
      </c>
      <c r="F23" s="6" t="s">
        <v>29</v>
      </c>
      <c r="G23" s="6"/>
      <c r="I23" s="16" t="s">
        <v>49</v>
      </c>
      <c r="J23" s="19">
        <f>(G9-G10)/J11</f>
        <v>1.2502902093604468E-2</v>
      </c>
      <c r="K23" s="33">
        <f>$D$16</f>
        <v>1.4999999999999999E-2</v>
      </c>
      <c r="L23" s="33">
        <f t="shared" ref="L23:O23" si="13">$D$16</f>
        <v>1.4999999999999999E-2</v>
      </c>
      <c r="M23" s="33">
        <f t="shared" si="13"/>
        <v>1.4999999999999999E-2</v>
      </c>
      <c r="N23" s="33">
        <f t="shared" si="13"/>
        <v>1.4999999999999999E-2</v>
      </c>
      <c r="O23" s="33">
        <f t="shared" si="13"/>
        <v>1.4999999999999999E-2</v>
      </c>
      <c r="P23" s="18">
        <f>($U23/$O23)^(1/($D$10+1))*O23</f>
        <v>1.8112770096288696E-2</v>
      </c>
      <c r="Q23" s="18">
        <f>($U23/$O23)^(1/($D$10+1))*P23</f>
        <v>2.187149603740067E-2</v>
      </c>
      <c r="R23" s="18">
        <f>($U23/$O23)^(1/($D$10+1))*Q23</f>
        <v>2.6410225292488508E-2</v>
      </c>
      <c r="S23" s="18">
        <f>($U23/$O23)^(1/($D$10+1))*R23</f>
        <v>3.1890822594268883E-2</v>
      </c>
      <c r="T23" s="18">
        <f>($U23/$O23)^(1/($D$10+1))*S23</f>
        <v>3.850874252210143E-2</v>
      </c>
      <c r="U23" s="33">
        <f>D26</f>
        <v>4.65E-2</v>
      </c>
    </row>
    <row r="24" spans="3:21" x14ac:dyDescent="0.35">
      <c r="C24" t="s">
        <v>24</v>
      </c>
      <c r="D24" s="30">
        <v>0.25</v>
      </c>
      <c r="F24" t="s">
        <v>25</v>
      </c>
      <c r="G24" s="43">
        <v>304643</v>
      </c>
      <c r="I24" s="17" t="s">
        <v>16</v>
      </c>
      <c r="J24" s="15">
        <f>G12*(1-$G$18)</f>
        <v>171270.89360648749</v>
      </c>
      <c r="K24" s="15">
        <f t="shared" ref="K24:U24" si="14">K11*K25*(1-$G$18)</f>
        <v>38724.529342184236</v>
      </c>
      <c r="L24" s="15">
        <f t="shared" si="14"/>
        <v>49567.397557995821</v>
      </c>
      <c r="M24" s="15">
        <f t="shared" si="14"/>
        <v>63446.268874234658</v>
      </c>
      <c r="N24" s="15">
        <f t="shared" si="14"/>
        <v>81211.224159020363</v>
      </c>
      <c r="O24" s="15">
        <f t="shared" si="14"/>
        <v>103950.36692354605</v>
      </c>
      <c r="P24" s="15">
        <f t="shared" si="14"/>
        <v>107936.1290037517</v>
      </c>
      <c r="Q24" s="15">
        <f t="shared" si="14"/>
        <v>106439.83046503032</v>
      </c>
      <c r="R24" s="15">
        <f t="shared" si="14"/>
        <v>101134.70752784729</v>
      </c>
      <c r="S24" s="15">
        <f t="shared" si="14"/>
        <v>93586.315111913893</v>
      </c>
      <c r="T24" s="15">
        <f t="shared" si="14"/>
        <v>85002.077145600124</v>
      </c>
      <c r="U24" s="15">
        <f t="shared" si="14"/>
        <v>1607836.4297336044</v>
      </c>
    </row>
    <row r="25" spans="3:21" x14ac:dyDescent="0.35">
      <c r="C25" t="s">
        <v>32</v>
      </c>
      <c r="D25" s="2">
        <v>0.32740000000000002</v>
      </c>
      <c r="F25" s="1" t="s">
        <v>47</v>
      </c>
      <c r="G25" s="41">
        <v>1497</v>
      </c>
      <c r="I25" s="27" t="s">
        <v>52</v>
      </c>
      <c r="J25" s="26">
        <f>J24/J11</f>
        <v>0.12994618691947696</v>
      </c>
      <c r="K25" s="34">
        <f>$D$17</f>
        <v>2.3E-2</v>
      </c>
      <c r="L25" s="34">
        <f t="shared" ref="L25:O25" si="15">$D$17</f>
        <v>2.3E-2</v>
      </c>
      <c r="M25" s="34">
        <f t="shared" si="15"/>
        <v>2.3E-2</v>
      </c>
      <c r="N25" s="34">
        <f t="shared" si="15"/>
        <v>2.3E-2</v>
      </c>
      <c r="O25" s="34">
        <f t="shared" si="15"/>
        <v>2.3E-2</v>
      </c>
      <c r="P25" s="35">
        <f>($U25/$O25)^(1/($D$10+1))*O25</f>
        <v>2.0018884013927891E-2</v>
      </c>
      <c r="Q25" s="35">
        <f>($U25/$O25)^(1/($D$10+1))*P25</f>
        <v>1.7424161615786853E-2</v>
      </c>
      <c r="R25" s="35">
        <f>($U25/$O25)^(1/($D$10+1))*Q25</f>
        <v>1.5165750888103104E-2</v>
      </c>
      <c r="S25" s="35">
        <f>($U25/$O25)^(1/($D$10+1))*R25</f>
        <v>1.3200061217959127E-2</v>
      </c>
      <c r="T25" s="35">
        <f>($U25/$O25)^(1/($D$10+1))*S25</f>
        <v>1.1489151934742238E-2</v>
      </c>
      <c r="U25" s="34">
        <f>D27</f>
        <v>0.01</v>
      </c>
    </row>
    <row r="26" spans="3:21" x14ac:dyDescent="0.35">
      <c r="C26" t="s">
        <v>50</v>
      </c>
      <c r="D26" s="30">
        <v>4.65E-2</v>
      </c>
      <c r="F26" t="s">
        <v>46</v>
      </c>
      <c r="G26" s="4">
        <f>G24+G25</f>
        <v>306140</v>
      </c>
      <c r="I26" s="17" t="s">
        <v>4</v>
      </c>
      <c r="J26" s="15">
        <f>J21-J22-J24</f>
        <v>50069.949190932442</v>
      </c>
      <c r="K26" s="15">
        <f t="shared" ref="K26:U26" si="16">K21-K22-K24</f>
        <v>250515.41017113399</v>
      </c>
      <c r="L26" s="15">
        <f t="shared" si="16"/>
        <v>320659.72501905164</v>
      </c>
      <c r="M26" s="15">
        <f t="shared" si="16"/>
        <v>410444.44802438602</v>
      </c>
      <c r="N26" s="15">
        <f t="shared" si="16"/>
        <v>525368.89347121411</v>
      </c>
      <c r="O26" s="15">
        <f t="shared" si="16"/>
        <v>672472.1836431541</v>
      </c>
      <c r="P26" s="15">
        <f t="shared" si="16"/>
        <v>811318.51495145366</v>
      </c>
      <c r="Q26" s="15">
        <f t="shared" si="16"/>
        <v>923256.53152130928</v>
      </c>
      <c r="R26" s="15">
        <f t="shared" si="16"/>
        <v>1004910.9690070101</v>
      </c>
      <c r="S26" s="15">
        <f t="shared" si="16"/>
        <v>1056555.1088831264</v>
      </c>
      <c r="T26" s="15">
        <f t="shared" si="16"/>
        <v>1079982.1470259265</v>
      </c>
      <c r="U26" s="15">
        <f t="shared" si="16"/>
        <v>22725015.470952343</v>
      </c>
    </row>
    <row r="27" spans="3:21" x14ac:dyDescent="0.35">
      <c r="C27" t="s">
        <v>51</v>
      </c>
      <c r="D27" s="30">
        <v>0.01</v>
      </c>
      <c r="I27" s="17" t="s">
        <v>9</v>
      </c>
      <c r="J27" s="31">
        <f>$D$32</f>
        <v>1.92</v>
      </c>
      <c r="K27" s="31">
        <f>$D$32</f>
        <v>1.92</v>
      </c>
      <c r="L27" s="31">
        <f>$D$32</f>
        <v>1.92</v>
      </c>
      <c r="M27" s="31">
        <f>$D$32</f>
        <v>1.92</v>
      </c>
      <c r="N27" s="31">
        <f>$D$32</f>
        <v>1.92</v>
      </c>
      <c r="O27" s="31">
        <f>$D$32</f>
        <v>1.92</v>
      </c>
      <c r="P27" s="32">
        <f>($U27/$O27)^(1/($D$10+1))*O27</f>
        <v>1.6452047547039412</v>
      </c>
      <c r="Q27" s="32">
        <f>($U27/$O27)^(1/($D$10+1))*P27</f>
        <v>1.409738898385654</v>
      </c>
      <c r="R27" s="32">
        <f>($U27/$O27)^(1/($D$10+1))*Q27</f>
        <v>1.20797350964332</v>
      </c>
      <c r="S27" s="32">
        <f>($U27/$O27)^(1/($D$10+1))*R27</f>
        <v>1.0350852925112486</v>
      </c>
      <c r="T27" s="32">
        <f>($U27/$O27)^(1/($D$10+1))*S27</f>
        <v>0.88694127331438866</v>
      </c>
      <c r="U27" s="10">
        <f>D20</f>
        <v>0.76</v>
      </c>
    </row>
    <row r="28" spans="3:21" x14ac:dyDescent="0.35">
      <c r="F28" s="6" t="s">
        <v>56</v>
      </c>
      <c r="G28" s="8"/>
      <c r="I28" s="17" t="s">
        <v>7</v>
      </c>
      <c r="J28" s="11">
        <f>J27*$D$31+$D$30</f>
        <v>0.12910016000000002</v>
      </c>
      <c r="K28" s="11">
        <f>K27*$D$31+$D$30</f>
        <v>0.12910016000000002</v>
      </c>
      <c r="L28" s="11">
        <f>L27*$D$31+$D$30</f>
        <v>0.12910016000000002</v>
      </c>
      <c r="M28" s="11">
        <f>M27*$D$31+$D$30</f>
        <v>0.12910016000000002</v>
      </c>
      <c r="N28" s="11">
        <f>N27*$D$31+$D$30</f>
        <v>0.12910016000000002</v>
      </c>
      <c r="O28" s="11">
        <f>O27*$D$31+$D$30</f>
        <v>0.12910016000000002</v>
      </c>
      <c r="P28" s="11">
        <f>P27*$D$31+$D$30</f>
        <v>0.11685171153141878</v>
      </c>
      <c r="Q28" s="11">
        <f>Q27*$D$31+$D$30</f>
        <v>0.10635629191774376</v>
      </c>
      <c r="R28" s="11">
        <f>R27*$D$31+$D$30</f>
        <v>9.7363003245331703E-2</v>
      </c>
      <c r="S28" s="11">
        <f>S27*$D$31+$D$30</f>
        <v>8.9656856743103891E-2</v>
      </c>
      <c r="T28" s="11">
        <f>T27*$D$31+$D$30</f>
        <v>8.3053633375442248E-2</v>
      </c>
      <c r="U28" s="11">
        <f>U27*$D$31+$D$30</f>
        <v>7.7395480000000003E-2</v>
      </c>
    </row>
    <row r="29" spans="3:21" x14ac:dyDescent="0.35">
      <c r="C29" s="6" t="s">
        <v>7</v>
      </c>
      <c r="D29" s="1"/>
      <c r="F29" t="s">
        <v>35</v>
      </c>
      <c r="G29" s="4">
        <f>SUM(K30:O30)</f>
        <v>1853054.9092925112</v>
      </c>
      <c r="I29" s="17" t="s">
        <v>34</v>
      </c>
      <c r="J29" s="11">
        <v>0</v>
      </c>
      <c r="K29" s="11">
        <f>K28</f>
        <v>0.12910016000000002</v>
      </c>
      <c r="L29" s="11">
        <f>K29*(1+L28)</f>
        <v>0.14576701131202563</v>
      </c>
      <c r="M29" s="11">
        <f t="shared" ref="M29:T29" si="17">L29*(1+M28)</f>
        <v>0.16458555579512996</v>
      </c>
      <c r="N29" s="11">
        <f t="shared" si="17"/>
        <v>0.18583357738197018</v>
      </c>
      <c r="O29" s="11">
        <f t="shared" si="17"/>
        <v>0.20982472195535493</v>
      </c>
      <c r="P29" s="13">
        <f t="shared" si="17"/>
        <v>0.2343430998374422</v>
      </c>
      <c r="Q29" s="11">
        <f t="shared" si="17"/>
        <v>0.25926696297266216</v>
      </c>
      <c r="R29" s="11">
        <f t="shared" si="17"/>
        <v>0.28450997312997672</v>
      </c>
      <c r="S29" s="11">
        <f t="shared" si="17"/>
        <v>0.3100182430328754</v>
      </c>
      <c r="T29" s="11">
        <f t="shared" si="17"/>
        <v>0.33576638452942664</v>
      </c>
      <c r="U29" s="11">
        <f>T29*(1+U28)</f>
        <v>0.36175318502794623</v>
      </c>
    </row>
    <row r="30" spans="3:21" x14ac:dyDescent="0.35">
      <c r="C30" t="s">
        <v>5</v>
      </c>
      <c r="D30" s="42">
        <v>4.3520000000000003E-2</v>
      </c>
      <c r="F30" t="s">
        <v>36</v>
      </c>
      <c r="G30" s="4">
        <f>SUM(P30:T30)</f>
        <v>3787818.3547652904</v>
      </c>
      <c r="I30" s="17" t="s">
        <v>11</v>
      </c>
      <c r="J30" s="12">
        <f>J26</f>
        <v>50069.949190932442</v>
      </c>
      <c r="K30" s="12">
        <f t="shared" ref="K30:P30" si="18">K26/(1+K29)</f>
        <v>221871.73383372292</v>
      </c>
      <c r="L30" s="12">
        <f t="shared" si="18"/>
        <v>279864.68614754581</v>
      </c>
      <c r="M30" s="12">
        <f t="shared" si="18"/>
        <v>352438.20944022603</v>
      </c>
      <c r="N30" s="12">
        <f t="shared" si="18"/>
        <v>443037.62643582741</v>
      </c>
      <c r="O30" s="12">
        <f t="shared" si="18"/>
        <v>555842.65343518893</v>
      </c>
      <c r="P30" s="12">
        <f t="shared" si="18"/>
        <v>657287.68205396121</v>
      </c>
      <c r="Q30" s="12">
        <f t="shared" ref="Q30:T30" si="19">Q26/(1+Q29)</f>
        <v>733169.81916355772</v>
      </c>
      <c r="R30" s="12">
        <f t="shared" si="19"/>
        <v>782330.21932740218</v>
      </c>
      <c r="S30" s="12">
        <f t="shared" si="19"/>
        <v>806519.38589576702</v>
      </c>
      <c r="T30" s="12">
        <f t="shared" si="19"/>
        <v>808511.24832460168</v>
      </c>
      <c r="U30" s="12">
        <f>U26/(1+U29)</f>
        <v>16688057.513510404</v>
      </c>
    </row>
    <row r="31" spans="3:21" x14ac:dyDescent="0.35">
      <c r="C31" t="s">
        <v>6</v>
      </c>
      <c r="D31" s="42">
        <v>4.4573000000000002E-2</v>
      </c>
      <c r="F31" s="1" t="s">
        <v>37</v>
      </c>
      <c r="G31" s="5">
        <f>U30</f>
        <v>16688057.513510404</v>
      </c>
    </row>
    <row r="32" spans="3:21" x14ac:dyDescent="0.35">
      <c r="C32" s="1" t="s">
        <v>9</v>
      </c>
      <c r="D32" s="45">
        <v>1.92</v>
      </c>
      <c r="F32" t="s">
        <v>38</v>
      </c>
      <c r="G32" s="7">
        <f>SUM(G29:G31)</f>
        <v>22328930.777568206</v>
      </c>
    </row>
    <row r="33" spans="3:7" x14ac:dyDescent="0.35">
      <c r="C33" t="s">
        <v>7</v>
      </c>
      <c r="D33" s="2">
        <f>D30+D32*D31</f>
        <v>0.12910016000000002</v>
      </c>
      <c r="F33" s="39" t="s">
        <v>39</v>
      </c>
      <c r="G33" s="40">
        <f>G32/G21</f>
        <v>94.229211093534062</v>
      </c>
    </row>
    <row r="35" spans="3:7" x14ac:dyDescent="0.35">
      <c r="C35" s="6" t="s">
        <v>31</v>
      </c>
      <c r="D35" s="6"/>
    </row>
    <row r="36" spans="3:7" x14ac:dyDescent="0.35">
      <c r="C36" t="s">
        <v>55</v>
      </c>
      <c r="D36" s="43">
        <v>1318014</v>
      </c>
    </row>
    <row r="65" spans="10:10" x14ac:dyDescent="0.35">
      <c r="J65" s="7"/>
    </row>
    <row r="66" spans="10:10" x14ac:dyDescent="0.35">
      <c r="J66" s="2"/>
    </row>
    <row r="70" spans="10:10" x14ac:dyDescent="0.35">
      <c r="J70" s="2"/>
    </row>
  </sheetData>
  <phoneticPr fontId="1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98CE-717B-4FD1-9918-B32D63F79B9A}">
  <sheetPr>
    <tabColor theme="7" tint="0.79998168889431442"/>
  </sheetPr>
  <dimension ref="B2:Q24"/>
  <sheetViews>
    <sheetView showGridLines="0" workbookViewId="0">
      <selection activeCell="Q20" sqref="Q20"/>
    </sheetView>
  </sheetViews>
  <sheetFormatPr defaultRowHeight="14.5" x14ac:dyDescent="0.35"/>
  <cols>
    <col min="1" max="1" width="5.1796875" customWidth="1"/>
    <col min="2" max="2" width="3.1796875" customWidth="1"/>
  </cols>
  <sheetData>
    <row r="2" spans="2:17" ht="20" customHeight="1" x14ac:dyDescent="0.35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2:17" ht="20" customHeight="1" x14ac:dyDescent="0.55000000000000004">
      <c r="B3" s="47" t="s">
        <v>44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2:17" ht="20" customHeight="1" x14ac:dyDescent="0.35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6" spans="2:17" x14ac:dyDescent="0.35">
      <c r="C6" s="50" t="s">
        <v>61</v>
      </c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2:17" x14ac:dyDescent="0.35"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2:17" x14ac:dyDescent="0.35"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2:17" x14ac:dyDescent="0.35"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2:17" x14ac:dyDescent="0.35"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2:17" x14ac:dyDescent="0.35"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2:17" x14ac:dyDescent="0.35"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2:17" x14ac:dyDescent="0.35"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2:17" x14ac:dyDescent="0.35"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</row>
    <row r="15" spans="2:17" x14ac:dyDescent="0.35"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</row>
    <row r="16" spans="2:17" x14ac:dyDescent="0.35"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3:13" x14ac:dyDescent="0.35"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</row>
    <row r="18" spans="3:13" x14ac:dyDescent="0.35"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</row>
    <row r="19" spans="3:13" x14ac:dyDescent="0.35"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</row>
    <row r="20" spans="3:13" x14ac:dyDescent="0.35"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</row>
    <row r="21" spans="3:13" x14ac:dyDescent="0.35"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</row>
    <row r="22" spans="3:13" x14ac:dyDescent="0.35"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</row>
    <row r="23" spans="3:13" x14ac:dyDescent="0.35"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</row>
    <row r="24" spans="3:13" x14ac:dyDescent="0.35">
      <c r="C24" s="52" t="s">
        <v>62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Valuation</vt:lpstr>
      <vt:lpstr>Support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Brennen Curry</dc:creator>
  <cp:lastModifiedBy>Brennen Curry</cp:lastModifiedBy>
  <dcterms:created xsi:type="dcterms:W3CDTF">2024-04-09T02:03:20Z</dcterms:created>
  <dcterms:modified xsi:type="dcterms:W3CDTF">2024-06-08T15:25:04Z</dcterms:modified>
</cp:coreProperties>
</file>