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7fc1b5d840bea1/Asset_Management/Valuation_Models/"/>
    </mc:Choice>
  </mc:AlternateContent>
  <xr:revisionPtr revIDLastSave="88" documentId="8_{C927959E-A871-4E42-9B68-0F11C6E71F82}" xr6:coauthVersionLast="47" xr6:coauthVersionMax="47" xr10:uidLastSave="{525E2045-A6BF-4EFD-BC6D-EF3DEFB809FB}"/>
  <bookViews>
    <workbookView xWindow="9375" yWindow="-16320" windowWidth="29040" windowHeight="15720" activeTab="1" xr2:uid="{9A01AF42-8690-439C-9073-E3F60472233E}"/>
  </bookViews>
  <sheets>
    <sheet name="Cover" sheetId="4" r:id="rId1"/>
    <sheet name="Valuation" sheetId="2" r:id="rId2"/>
    <sheet name="Suppor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3" i="2"/>
  <c r="G22" i="2"/>
  <c r="K23" i="2" l="1"/>
  <c r="J15" i="2"/>
  <c r="G27" i="2"/>
  <c r="J11" i="2"/>
  <c r="J18" i="2" l="1"/>
  <c r="L25" i="2"/>
  <c r="M25" i="2"/>
  <c r="N25" i="2"/>
  <c r="O25" i="2"/>
  <c r="K25" i="2"/>
  <c r="L23" i="2"/>
  <c r="M23" i="2"/>
  <c r="N23" i="2"/>
  <c r="O23" i="2"/>
  <c r="U25" i="2"/>
  <c r="U23" i="2"/>
  <c r="P25" i="2" l="1"/>
  <c r="Q25" i="2" s="1"/>
  <c r="R25" i="2" s="1"/>
  <c r="S25" i="2" s="1"/>
  <c r="T25" i="2" s="1"/>
  <c r="P23" i="2"/>
  <c r="Q23" i="2" s="1"/>
  <c r="R23" i="2" s="1"/>
  <c r="S23" i="2" s="1"/>
  <c r="T23" i="2" s="1"/>
  <c r="D23" i="2" l="1"/>
  <c r="L13" i="2" l="1"/>
  <c r="M13" i="2"/>
  <c r="N13" i="2"/>
  <c r="O13" i="2"/>
  <c r="K13" i="2"/>
  <c r="U12" i="2" l="1"/>
  <c r="U16" i="2" l="1"/>
  <c r="G17" i="2"/>
  <c r="J21" i="2" l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J24" i="2"/>
  <c r="J25" i="2" s="1"/>
  <c r="K27" i="2" l="1"/>
  <c r="K28" i="2" s="1"/>
  <c r="L27" i="2"/>
  <c r="L28" i="2" s="1"/>
  <c r="M27" i="2"/>
  <c r="M28" i="2" s="1"/>
  <c r="N27" i="2"/>
  <c r="N28" i="2" s="1"/>
  <c r="O27" i="2"/>
  <c r="J27" i="2"/>
  <c r="J28" i="2" s="1"/>
  <c r="U27" i="2"/>
  <c r="K19" i="2"/>
  <c r="L19" i="2"/>
  <c r="M19" i="2"/>
  <c r="N19" i="2"/>
  <c r="O19" i="2"/>
  <c r="J19" i="2"/>
  <c r="U19" i="2"/>
  <c r="K12" i="2"/>
  <c r="K16" i="2" s="1"/>
  <c r="L12" i="2"/>
  <c r="L16" i="2" s="1"/>
  <c r="M12" i="2"/>
  <c r="M16" i="2" s="1"/>
  <c r="N12" i="2"/>
  <c r="N16" i="2" s="1"/>
  <c r="O12" i="2"/>
  <c r="P12" i="2" s="1"/>
  <c r="U13" i="2"/>
  <c r="Q12" i="2" l="1"/>
  <c r="O16" i="2"/>
  <c r="P13" i="2"/>
  <c r="Q13" i="2" s="1"/>
  <c r="R13" i="2" s="1"/>
  <c r="S13" i="2" s="1"/>
  <c r="T13" i="2" s="1"/>
  <c r="U28" i="2"/>
  <c r="O28" i="2"/>
  <c r="P27" i="2"/>
  <c r="P19" i="2"/>
  <c r="K15" i="2"/>
  <c r="K18" i="2" s="1"/>
  <c r="K11" i="2"/>
  <c r="K22" i="2" s="1"/>
  <c r="P16" i="2"/>
  <c r="Q19" i="2" l="1"/>
  <c r="L11" i="2"/>
  <c r="L22" i="2" s="1"/>
  <c r="K24" i="2"/>
  <c r="Q27" i="2"/>
  <c r="P28" i="2"/>
  <c r="L15" i="2"/>
  <c r="L18" i="2" s="1"/>
  <c r="K14" i="2"/>
  <c r="K20" i="2" s="1"/>
  <c r="Q16" i="2"/>
  <c r="R19" i="2" l="1"/>
  <c r="M11" i="2"/>
  <c r="M14" i="2" s="1"/>
  <c r="L24" i="2"/>
  <c r="R27" i="2"/>
  <c r="Q28" i="2"/>
  <c r="M15" i="2"/>
  <c r="M18" i="2" s="1"/>
  <c r="R12" i="2"/>
  <c r="R16" i="2" s="1"/>
  <c r="L14" i="2"/>
  <c r="L20" i="2" s="1"/>
  <c r="D32" i="2"/>
  <c r="D14" i="2" s="1"/>
  <c r="M20" i="2" l="1"/>
  <c r="S19" i="2"/>
  <c r="N11" i="2"/>
  <c r="N14" i="2" s="1"/>
  <c r="M22" i="2"/>
  <c r="M24" i="2"/>
  <c r="S27" i="2"/>
  <c r="R28" i="2"/>
  <c r="N15" i="2"/>
  <c r="N18" i="2" s="1"/>
  <c r="S12" i="2"/>
  <c r="S16" i="2" s="1"/>
  <c r="K29" i="2"/>
  <c r="N20" i="2" l="1"/>
  <c r="T19" i="2"/>
  <c r="O11" i="2"/>
  <c r="N22" i="2"/>
  <c r="N24" i="2"/>
  <c r="T27" i="2"/>
  <c r="S28" i="2"/>
  <c r="O15" i="2"/>
  <c r="O18" i="2" s="1"/>
  <c r="T12" i="2"/>
  <c r="L29" i="2"/>
  <c r="O14" i="2" l="1"/>
  <c r="O20" i="2" s="1"/>
  <c r="P11" i="2"/>
  <c r="Q11" i="2" s="1"/>
  <c r="T16" i="2"/>
  <c r="O22" i="2"/>
  <c r="O24" i="2"/>
  <c r="T28" i="2"/>
  <c r="P15" i="2"/>
  <c r="P18" i="2" s="1"/>
  <c r="M29" i="2"/>
  <c r="P14" i="2"/>
  <c r="P20" i="2" l="1"/>
  <c r="P22" i="2"/>
  <c r="P24" i="2"/>
  <c r="Q14" i="2"/>
  <c r="Q15" i="2"/>
  <c r="Q18" i="2" s="1"/>
  <c r="N29" i="2"/>
  <c r="Q20" i="2" l="1"/>
  <c r="Q22" i="2"/>
  <c r="Q24" i="2"/>
  <c r="R11" i="2"/>
  <c r="R15" i="2"/>
  <c r="R18" i="2" s="1"/>
  <c r="O29" i="2"/>
  <c r="R22" i="2" l="1"/>
  <c r="R24" i="2"/>
  <c r="S11" i="2"/>
  <c r="T11" i="2" s="1"/>
  <c r="R14" i="2"/>
  <c r="S15" i="2"/>
  <c r="S18" i="2" s="1"/>
  <c r="P29" i="2"/>
  <c r="Q29" i="2" s="1"/>
  <c r="R29" i="2" s="1"/>
  <c r="S29" i="2" s="1"/>
  <c r="T29" i="2" s="1"/>
  <c r="U11" i="2" l="1"/>
  <c r="U22" i="2" s="1"/>
  <c r="U29" i="2"/>
  <c r="R20" i="2"/>
  <c r="S22" i="2"/>
  <c r="S24" i="2"/>
  <c r="S14" i="2"/>
  <c r="T15" i="2"/>
  <c r="U15" i="2" s="1"/>
  <c r="T18" i="2" l="1"/>
  <c r="S20" i="2"/>
  <c r="T22" i="2"/>
  <c r="T24" i="2"/>
  <c r="T14" i="2"/>
  <c r="T20" i="2" l="1"/>
  <c r="J14" i="2" l="1"/>
  <c r="J20" i="2" s="1"/>
  <c r="J13" i="2" l="1"/>
  <c r="T26" i="2"/>
  <c r="T30" i="2" s="1"/>
  <c r="N26" i="2"/>
  <c r="N30" i="2" s="1"/>
  <c r="S26" i="2"/>
  <c r="S30" i="2" s="1"/>
  <c r="Q26" i="2"/>
  <c r="Q30" i="2" s="1"/>
  <c r="P26" i="2"/>
  <c r="P30" i="2" s="1"/>
  <c r="K26" i="2"/>
  <c r="K30" i="2" s="1"/>
  <c r="O26" i="2"/>
  <c r="O30" i="2" s="1"/>
  <c r="L26" i="2"/>
  <c r="L30" i="2" s="1"/>
  <c r="R26" i="2"/>
  <c r="R30" i="2" s="1"/>
  <c r="M26" i="2"/>
  <c r="M30" i="2" s="1"/>
  <c r="U18" i="2" l="1"/>
  <c r="U24" i="2"/>
  <c r="U14" i="2"/>
  <c r="G30" i="2"/>
  <c r="G31" i="2"/>
  <c r="U20" i="2" l="1"/>
  <c r="U26" i="2" s="1"/>
  <c r="J26" i="2"/>
  <c r="J30" i="2" s="1"/>
  <c r="U30" i="2" l="1"/>
  <c r="G32" i="2" s="1"/>
  <c r="G33" i="2" s="1"/>
  <c r="G34" i="2" s="1"/>
</calcChain>
</file>

<file path=xl/sharedStrings.xml><?xml version="1.0" encoding="utf-8"?>
<sst xmlns="http://schemas.openxmlformats.org/spreadsheetml/2006/main" count="82" uniqueCount="66">
  <si>
    <t>Terminal</t>
  </si>
  <si>
    <t>Current</t>
  </si>
  <si>
    <t>Transition Period</t>
  </si>
  <si>
    <t>High-Growth Period</t>
  </si>
  <si>
    <t>FCFE</t>
  </si>
  <si>
    <t>Riskfree Rate</t>
  </si>
  <si>
    <t>ERP</t>
  </si>
  <si>
    <t>Cost of Equity</t>
  </si>
  <si>
    <t>Stable Period</t>
  </si>
  <si>
    <t>Beta</t>
  </si>
  <si>
    <t>Tax Rate</t>
  </si>
  <si>
    <t>PV</t>
  </si>
  <si>
    <t>Growth</t>
  </si>
  <si>
    <t>High Growth</t>
  </si>
  <si>
    <t>Shares</t>
  </si>
  <si>
    <t>Chg. Working Capitial (Equity)</t>
  </si>
  <si>
    <t>Depreciation</t>
  </si>
  <si>
    <t>Net Income</t>
  </si>
  <si>
    <t>Effective Tax Rate</t>
  </si>
  <si>
    <t>BV Debt Current</t>
  </si>
  <si>
    <t>BV Equity Current</t>
  </si>
  <si>
    <t>Revenues</t>
  </si>
  <si>
    <t>EBIT Margin</t>
  </si>
  <si>
    <t>EBIT</t>
  </si>
  <si>
    <t>Interest</t>
  </si>
  <si>
    <t>Taxes</t>
  </si>
  <si>
    <t>High Growth Period</t>
  </si>
  <si>
    <t>EBIT Adj.</t>
  </si>
  <si>
    <t>CapEx</t>
  </si>
  <si>
    <t>Current Financials</t>
  </si>
  <si>
    <t>Debt / DE</t>
  </si>
  <si>
    <t>Period Length</t>
  </si>
  <si>
    <t>Cumulated Discount</t>
  </si>
  <si>
    <t>High-Growth PV</t>
  </si>
  <si>
    <t>Transition PV</t>
  </si>
  <si>
    <t>Terminal PV</t>
  </si>
  <si>
    <t>Total Value</t>
  </si>
  <si>
    <t>Stock Value</t>
  </si>
  <si>
    <t>Debt Mix</t>
  </si>
  <si>
    <t>Debt Interest</t>
  </si>
  <si>
    <t>DCF Valuation</t>
  </si>
  <si>
    <t xml:space="preserve">   Curry Invest</t>
  </si>
  <si>
    <t xml:space="preserve">   Supporting Figures</t>
  </si>
  <si>
    <t>Year</t>
  </si>
  <si>
    <t>Normalized EBIT</t>
  </si>
  <si>
    <t>Non-Recurring Expenses</t>
  </si>
  <si>
    <t>Net Capex / Revenue Ratio</t>
  </si>
  <si>
    <t>Net CapEx / Revenues</t>
  </si>
  <si>
    <t>Non-Cash WC / Revenues</t>
  </si>
  <si>
    <t>WC / Revenue Ratio</t>
  </si>
  <si>
    <t>Interest Bearing Debt</t>
  </si>
  <si>
    <t>Cash Flow</t>
  </si>
  <si>
    <t>Revenue</t>
  </si>
  <si>
    <t>Final Value</t>
  </si>
  <si>
    <t>Change WC</t>
  </si>
  <si>
    <t>Output from curryinvest</t>
  </si>
  <si>
    <t>Note: Standard error too large for usable regression</t>
  </si>
  <si>
    <t>Year 10</t>
  </si>
  <si>
    <t>Common</t>
  </si>
  <si>
    <t>Debt / Capital</t>
  </si>
  <si>
    <t>RSUs</t>
  </si>
  <si>
    <t>June 6 2024</t>
  </si>
  <si>
    <t xml:space="preserve">   Chewy, Inc. (CHWY) FCFE 3 Stage Valuation</t>
  </si>
  <si>
    <t>Settings: Period = 5 years (max), Interval = Monthly</t>
  </si>
  <si>
    <t>Regression Beta - CHWY</t>
  </si>
  <si>
    <t>Net CapEx (Equity)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</si>
</sst>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7"/>
      <color rgb="FFCE9178"/>
      <name val="Consolas"/>
      <family val="3"/>
    </font>
    <font>
      <b/>
      <sz val="48"/>
      <color theme="0"/>
      <name val="Aptos Narrow"/>
      <family val="2"/>
      <scheme val="minor"/>
    </font>
    <font>
      <sz val="8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9193D"/>
        <bgColor indexed="64"/>
      </patternFill>
    </fill>
    <fill>
      <patternFill patternType="solid">
        <fgColor rgb="FFA67EBC"/>
        <bgColor indexed="64"/>
      </patternFill>
    </fill>
    <fill>
      <patternFill patternType="solid">
        <fgColor rgb="FFECF5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E055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37" fontId="3" fillId="0" borderId="0"/>
  </cellStyleXfs>
  <cellXfs count="55">
    <xf numFmtId="0" fontId="0" fillId="0" borderId="0" xfId="0"/>
    <xf numFmtId="0" fontId="0" fillId="0" borderId="1" xfId="0" applyBorder="1"/>
    <xf numFmtId="10" fontId="0" fillId="0" borderId="0" xfId="0" applyNumberFormat="1"/>
    <xf numFmtId="10" fontId="0" fillId="0" borderId="0" xfId="1" applyNumberFormat="1" applyFont="1"/>
    <xf numFmtId="37" fontId="3" fillId="0" borderId="0" xfId="2"/>
    <xf numFmtId="37" fontId="3" fillId="0" borderId="1" xfId="2" applyBorder="1"/>
    <xf numFmtId="0" fontId="1" fillId="0" borderId="1" xfId="0" applyFont="1" applyBorder="1"/>
    <xf numFmtId="37" fontId="0" fillId="0" borderId="0" xfId="0" applyNumberFormat="1"/>
    <xf numFmtId="10" fontId="1" fillId="0" borderId="1" xfId="1" applyNumberFormat="1" applyFont="1" applyBorder="1"/>
    <xf numFmtId="0" fontId="1" fillId="0" borderId="0" xfId="0" applyFont="1"/>
    <xf numFmtId="0" fontId="4" fillId="0" borderId="0" xfId="0" applyFont="1"/>
    <xf numFmtId="10" fontId="4" fillId="0" borderId="0" xfId="0" applyNumberFormat="1" applyFont="1"/>
    <xf numFmtId="37" fontId="4" fillId="0" borderId="0" xfId="2" applyFont="1"/>
    <xf numFmtId="10" fontId="4" fillId="0" borderId="0" xfId="1" applyNumberFormat="1" applyFont="1"/>
    <xf numFmtId="9" fontId="4" fillId="0" borderId="0" xfId="0" applyNumberFormat="1" applyFont="1"/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10" fontId="5" fillId="0" borderId="0" xfId="1" applyNumberFormat="1" applyFont="1"/>
    <xf numFmtId="10" fontId="4" fillId="2" borderId="0" xfId="1" applyNumberFormat="1" applyFont="1" applyFill="1"/>
    <xf numFmtId="10" fontId="5" fillId="2" borderId="0" xfId="1" applyNumberFormat="1" applyFont="1" applyFill="1"/>
    <xf numFmtId="0" fontId="6" fillId="0" borderId="1" xfId="0" applyFont="1" applyBorder="1"/>
    <xf numFmtId="37" fontId="4" fillId="0" borderId="1" xfId="2" applyFont="1" applyBorder="1"/>
    <xf numFmtId="10" fontId="5" fillId="0" borderId="1" xfId="1" applyNumberFormat="1" applyFont="1" applyBorder="1"/>
    <xf numFmtId="0" fontId="5" fillId="0" borderId="1" xfId="0" applyFont="1" applyBorder="1"/>
    <xf numFmtId="0" fontId="0" fillId="2" borderId="0" xfId="0" applyFill="1"/>
    <xf numFmtId="10" fontId="0" fillId="2" borderId="0" xfId="0" applyNumberFormat="1" applyFill="1"/>
    <xf numFmtId="2" fontId="4" fillId="0" borderId="0" xfId="0" applyNumberFormat="1" applyFont="1"/>
    <xf numFmtId="39" fontId="4" fillId="0" borderId="0" xfId="0" applyNumberFormat="1" applyFont="1"/>
    <xf numFmtId="10" fontId="5" fillId="0" borderId="0" xfId="1" applyNumberFormat="1" applyFont="1" applyFill="1"/>
    <xf numFmtId="10" fontId="5" fillId="0" borderId="1" xfId="1" applyNumberFormat="1" applyFont="1" applyFill="1" applyBorder="1"/>
    <xf numFmtId="10" fontId="5" fillId="0" borderId="1" xfId="0" applyNumberFormat="1" applyFont="1" applyBorder="1"/>
    <xf numFmtId="37" fontId="10" fillId="0" borderId="1" xfId="2" applyFont="1" applyBorder="1"/>
    <xf numFmtId="37" fontId="10" fillId="0" borderId="0" xfId="2" applyFont="1"/>
    <xf numFmtId="0" fontId="1" fillId="3" borderId="0" xfId="0" applyFont="1" applyFill="1"/>
    <xf numFmtId="2" fontId="1" fillId="3" borderId="0" xfId="0" applyNumberFormat="1" applyFont="1" applyFill="1"/>
    <xf numFmtId="37" fontId="2" fillId="0" borderId="1" xfId="2" applyFont="1" applyBorder="1"/>
    <xf numFmtId="37" fontId="2" fillId="0" borderId="0" xfId="2" applyFont="1"/>
    <xf numFmtId="10" fontId="2" fillId="0" borderId="1" xfId="0" applyNumberFormat="1" applyFont="1" applyBorder="1"/>
    <xf numFmtId="0" fontId="0" fillId="4" borderId="0" xfId="0" applyFill="1"/>
    <xf numFmtId="0" fontId="7" fillId="4" borderId="0" xfId="0" applyFont="1" applyFill="1"/>
    <xf numFmtId="0" fontId="0" fillId="5" borderId="0" xfId="0" applyFill="1"/>
    <xf numFmtId="0" fontId="0" fillId="6" borderId="0" xfId="0" applyFill="1"/>
    <xf numFmtId="0" fontId="8" fillId="6" borderId="0" xfId="0" applyFont="1" applyFill="1" applyAlignment="1">
      <alignment vertical="center"/>
    </xf>
    <xf numFmtId="10" fontId="2" fillId="0" borderId="0" xfId="0" applyNumberFormat="1" applyFont="1"/>
    <xf numFmtId="2" fontId="2" fillId="0" borderId="1" xfId="0" applyNumberFormat="1" applyFont="1" applyBorder="1"/>
    <xf numFmtId="0" fontId="11" fillId="0" borderId="0" xfId="0" applyFont="1"/>
    <xf numFmtId="0" fontId="1" fillId="7" borderId="0" xfId="0" applyFont="1" applyFill="1"/>
    <xf numFmtId="0" fontId="0" fillId="7" borderId="0" xfId="0" applyFill="1"/>
    <xf numFmtId="0" fontId="11" fillId="7" borderId="0" xfId="0" applyFont="1" applyFill="1"/>
    <xf numFmtId="0" fontId="12" fillId="0" borderId="0" xfId="0" applyFont="1"/>
    <xf numFmtId="164" fontId="0" fillId="2" borderId="0" xfId="0" applyNumberFormat="1" applyFill="1"/>
    <xf numFmtId="0" fontId="0" fillId="8" borderId="0" xfId="0" applyFill="1"/>
    <xf numFmtId="0" fontId="9" fillId="4" borderId="0" xfId="0" applyFont="1" applyFill="1" applyAlignment="1">
      <alignment horizontal="left" vertical="center"/>
    </xf>
  </cellXfs>
  <cellStyles count="3">
    <cellStyle name="Account Basic" xfId="2" xr:uid="{08D7D3D4-4980-4DC9-800C-F68D4F37AC46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E0553"/>
      <color rgb="FF09193D"/>
      <color rgb="FFECF5FF"/>
      <color rgb="FFA67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353842</xdr:colOff>
      <xdr:row>0</xdr:row>
      <xdr:rowOff>257173</xdr:rowOff>
    </xdr:from>
    <xdr:to>
      <xdr:col>3</xdr:col>
      <xdr:colOff>368300</xdr:colOff>
      <xdr:row>3</xdr:row>
      <xdr:rowOff>485673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CF909-0706-CC44-B90C-0549B3F0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7" y="257173"/>
          <a:ext cx="1503533" cy="14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1778000</xdr:colOff>
      <xdr:row>1</xdr:row>
      <xdr:rowOff>153170</xdr:rowOff>
    </xdr:from>
    <xdr:to>
      <xdr:col>8</xdr:col>
      <xdr:colOff>120650</xdr:colOff>
      <xdr:row>3</xdr:row>
      <xdr:rowOff>107949</xdr:rowOff>
    </xdr:to>
    <xdr:pic>
      <xdr:nvPicPr>
        <xdr:cNvPr id="2" name="Picture 1" descr="Chewy Svg">
          <a:extLst>
            <a:ext uri="{FF2B5EF4-FFF2-40B4-BE49-F238E27FC236}">
              <a16:creationId xmlns:a16="http://schemas.microsoft.com/office/drawing/2014/main" id="{35F9BF36-30DA-EBDB-31F5-390DAEF72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337320"/>
          <a:ext cx="1536700" cy="462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8</xdr:row>
      <xdr:rowOff>76200</xdr:rowOff>
    </xdr:from>
    <xdr:to>
      <xdr:col>4</xdr:col>
      <xdr:colOff>561975</xdr:colOff>
      <xdr:row>17</xdr:row>
      <xdr:rowOff>169273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98FB83-8837-B514-45C2-5A4994CC3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4705350"/>
          <a:ext cx="1701800" cy="1750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71BB-5FB6-4ED8-ACE0-66E052CBFD0C}">
  <sheetPr>
    <tabColor theme="8" tint="0.39997558519241921"/>
  </sheetPr>
  <dimension ref="A1:M24"/>
  <sheetViews>
    <sheetView showGridLines="0" workbookViewId="0">
      <selection activeCell="C5" sqref="C5"/>
    </sheetView>
  </sheetViews>
  <sheetFormatPr defaultRowHeight="14.5" x14ac:dyDescent="0.35"/>
  <cols>
    <col min="1" max="1" width="5.6328125" customWidth="1"/>
    <col min="2" max="4" width="10.6328125" style="42" customWidth="1"/>
    <col min="5" max="16384" width="8.7265625" style="43"/>
  </cols>
  <sheetData>
    <row r="1" spans="2:13" customFormat="1" ht="20" customHeight="1" x14ac:dyDescent="0.35">
      <c r="B1" s="42"/>
      <c r="C1" s="42"/>
      <c r="D1" s="42"/>
    </row>
    <row r="2" spans="2:13" s="40" customFormat="1" ht="40" customHeight="1" x14ac:dyDescent="0.35">
      <c r="B2" s="42"/>
      <c r="C2" s="42"/>
      <c r="D2" s="42"/>
      <c r="E2" s="54" t="s">
        <v>41</v>
      </c>
      <c r="F2" s="54"/>
      <c r="G2" s="54"/>
      <c r="H2" s="54"/>
      <c r="I2" s="54"/>
      <c r="J2" s="54"/>
      <c r="K2" s="54"/>
      <c r="L2" s="54"/>
      <c r="M2" s="54"/>
    </row>
    <row r="3" spans="2:13" s="40" customFormat="1" ht="40" customHeight="1" x14ac:dyDescent="0.35">
      <c r="B3" s="42"/>
      <c r="C3" s="42"/>
      <c r="D3" s="42"/>
      <c r="E3" s="54"/>
      <c r="F3" s="54"/>
      <c r="G3" s="54"/>
      <c r="H3" s="54"/>
      <c r="I3" s="54"/>
      <c r="J3" s="54"/>
      <c r="K3" s="54"/>
      <c r="L3" s="54"/>
      <c r="M3" s="54"/>
    </row>
    <row r="4" spans="2:13" s="40" customFormat="1" ht="40" customHeight="1" x14ac:dyDescent="0.35">
      <c r="B4" s="42"/>
      <c r="C4" s="42"/>
      <c r="D4" s="42"/>
      <c r="E4" s="54"/>
      <c r="F4" s="54"/>
      <c r="G4" s="54"/>
      <c r="H4" s="54"/>
      <c r="I4" s="54"/>
      <c r="J4" s="54"/>
      <c r="K4" s="54"/>
      <c r="L4" s="54"/>
      <c r="M4" s="54"/>
    </row>
    <row r="24" spans="9:9" x14ac:dyDescent="0.35">
      <c r="I24" s="44"/>
    </row>
  </sheetData>
  <mergeCells count="1">
    <mergeCell ref="E2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132-65D4-4A8D-BBB2-74965D70DB42}">
  <sheetPr>
    <tabColor theme="7" tint="0.39997558519241921"/>
  </sheetPr>
  <dimension ref="B2:V70"/>
  <sheetViews>
    <sheetView showGridLines="0" tabSelected="1" workbookViewId="0">
      <selection activeCell="J22" sqref="J22"/>
    </sheetView>
  </sheetViews>
  <sheetFormatPr defaultRowHeight="14.5" x14ac:dyDescent="0.35"/>
  <cols>
    <col min="1" max="1" width="5.1796875" customWidth="1"/>
    <col min="2" max="2" width="2.6328125" customWidth="1"/>
    <col min="3" max="3" width="23.81640625" bestFit="1" customWidth="1"/>
    <col min="4" max="4" width="10.54296875" bestFit="1" customWidth="1"/>
    <col min="5" max="5" width="5.1796875" customWidth="1"/>
    <col min="6" max="6" width="28.90625" bestFit="1" customWidth="1"/>
    <col min="7" max="7" width="11.54296875" bestFit="1" customWidth="1"/>
    <col min="8" max="8" width="5.1796875" customWidth="1"/>
    <col min="9" max="9" width="19.90625" bestFit="1" customWidth="1"/>
    <col min="10" max="21" width="10.6328125" customWidth="1"/>
    <col min="22" max="22" width="5.1796875" customWidth="1"/>
  </cols>
  <sheetData>
    <row r="2" spans="2:22" ht="20" customHeight="1" x14ac:dyDescent="0.3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2:22" ht="20" customHeight="1" x14ac:dyDescent="0.55000000000000004">
      <c r="B3" s="41" t="s">
        <v>62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2:22" ht="20" customHeight="1" x14ac:dyDescent="0.3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6" spans="2:22" x14ac:dyDescent="0.35">
      <c r="C6" s="9" t="s">
        <v>61</v>
      </c>
    </row>
    <row r="8" spans="2:22" x14ac:dyDescent="0.35">
      <c r="C8" s="6" t="s">
        <v>31</v>
      </c>
      <c r="D8" s="1"/>
      <c r="F8" s="6" t="s">
        <v>51</v>
      </c>
      <c r="G8" s="1"/>
      <c r="I8" s="9" t="s">
        <v>40</v>
      </c>
    </row>
    <row r="9" spans="2:22" x14ac:dyDescent="0.35">
      <c r="C9" t="s">
        <v>26</v>
      </c>
      <c r="D9" s="26">
        <v>5</v>
      </c>
      <c r="F9" t="s">
        <v>28</v>
      </c>
      <c r="G9" s="38">
        <v>151008</v>
      </c>
      <c r="I9" s="10"/>
      <c r="J9" s="17" t="s">
        <v>1</v>
      </c>
      <c r="K9" s="17" t="s">
        <v>3</v>
      </c>
      <c r="L9" s="17"/>
      <c r="M9" s="17"/>
      <c r="N9" s="17"/>
      <c r="O9" s="17"/>
      <c r="P9" s="17" t="s">
        <v>2</v>
      </c>
      <c r="Q9" s="10"/>
      <c r="R9" s="11"/>
      <c r="S9" s="10"/>
      <c r="T9" s="51" t="s">
        <v>57</v>
      </c>
      <c r="U9" s="10"/>
    </row>
    <row r="10" spans="2:22" x14ac:dyDescent="0.35">
      <c r="C10" t="s">
        <v>2</v>
      </c>
      <c r="D10" s="26">
        <v>5</v>
      </c>
      <c r="F10" t="s">
        <v>16</v>
      </c>
      <c r="G10" s="38">
        <v>108795</v>
      </c>
      <c r="I10" s="22" t="s">
        <v>43</v>
      </c>
      <c r="J10" s="25">
        <v>0</v>
      </c>
      <c r="K10" s="25">
        <v>1</v>
      </c>
      <c r="L10" s="25">
        <v>2</v>
      </c>
      <c r="M10" s="25">
        <v>3</v>
      </c>
      <c r="N10" s="25">
        <v>4</v>
      </c>
      <c r="O10" s="25">
        <v>5</v>
      </c>
      <c r="P10" s="25">
        <v>1</v>
      </c>
      <c r="Q10" s="25">
        <v>2</v>
      </c>
      <c r="R10" s="25">
        <v>3</v>
      </c>
      <c r="S10" s="25">
        <v>4</v>
      </c>
      <c r="T10" s="25">
        <v>5</v>
      </c>
      <c r="U10" s="22" t="s">
        <v>0</v>
      </c>
    </row>
    <row r="11" spans="2:22" x14ac:dyDescent="0.35">
      <c r="F11" t="s">
        <v>54</v>
      </c>
      <c r="G11" s="38">
        <v>43452</v>
      </c>
      <c r="I11" s="17" t="s">
        <v>21</v>
      </c>
      <c r="J11" s="34">
        <f>D35</f>
        <v>11234806</v>
      </c>
      <c r="K11" s="12">
        <f>J11*(1+K12)</f>
        <v>12245938.540000001</v>
      </c>
      <c r="L11" s="12">
        <f t="shared" ref="L11:T11" si="0">K11*(1+L12)</f>
        <v>13348073.008600002</v>
      </c>
      <c r="M11" s="12">
        <f t="shared" si="0"/>
        <v>14549399.579374004</v>
      </c>
      <c r="N11" s="12">
        <f t="shared" si="0"/>
        <v>15858845.541517666</v>
      </c>
      <c r="O11" s="12">
        <f t="shared" si="0"/>
        <v>17286141.640254255</v>
      </c>
      <c r="P11" s="12">
        <f>O11*(1+P12)</f>
        <v>18615304.403152015</v>
      </c>
      <c r="Q11" s="12">
        <f>P11*(1+Q12)</f>
        <v>19838195.63207867</v>
      </c>
      <c r="R11" s="12">
        <f t="shared" si="0"/>
        <v>20951611.600484177</v>
      </c>
      <c r="S11" s="12">
        <f t="shared" si="0"/>
        <v>21956251.218571179</v>
      </c>
      <c r="T11" s="12">
        <f t="shared" si="0"/>
        <v>22855725.285254482</v>
      </c>
      <c r="U11" s="12">
        <f>(T11*(1+U12))/($U$28-U12)</f>
        <v>562828352.8488791</v>
      </c>
    </row>
    <row r="12" spans="2:22" x14ac:dyDescent="0.35">
      <c r="C12" s="6" t="s">
        <v>13</v>
      </c>
      <c r="D12" s="1"/>
      <c r="I12" s="16" t="s">
        <v>12</v>
      </c>
      <c r="J12" s="18"/>
      <c r="K12" s="18">
        <f>$D$13</f>
        <v>0.09</v>
      </c>
      <c r="L12" s="18">
        <f>$D$13</f>
        <v>0.09</v>
      </c>
      <c r="M12" s="18">
        <f>$D$13</f>
        <v>0.09</v>
      </c>
      <c r="N12" s="18">
        <f>$D$13</f>
        <v>0.09</v>
      </c>
      <c r="O12" s="18">
        <f>$D$13</f>
        <v>0.09</v>
      </c>
      <c r="P12" s="18">
        <f t="shared" ref="P12:T13" si="1">($U12/$O12)^(1/($D$10+1))*O12</f>
        <v>7.6891812560562323E-2</v>
      </c>
      <c r="Q12" s="18">
        <f t="shared" si="1"/>
        <v>6.5692787098318328E-2</v>
      </c>
      <c r="R12" s="18">
        <f t="shared" si="1"/>
        <v>5.6124860801609111E-2</v>
      </c>
      <c r="S12" s="18">
        <f t="shared" si="1"/>
        <v>4.7950469741610886E-2</v>
      </c>
      <c r="T12" s="18">
        <f t="shared" si="1"/>
        <v>4.0966650350698443E-2</v>
      </c>
      <c r="U12" s="18">
        <f>D22</f>
        <v>3.5000000000000003E-2</v>
      </c>
    </row>
    <row r="13" spans="2:22" x14ac:dyDescent="0.35">
      <c r="C13" t="s">
        <v>12</v>
      </c>
      <c r="D13" s="27">
        <v>0.09</v>
      </c>
      <c r="F13" s="6" t="s">
        <v>38</v>
      </c>
      <c r="G13" s="6"/>
      <c r="I13" s="17" t="s">
        <v>22</v>
      </c>
      <c r="J13" s="13">
        <f>J14/J11</f>
        <v>7.6379601036279578E-3</v>
      </c>
      <c r="K13" s="11">
        <f>$D$15</f>
        <v>0.02</v>
      </c>
      <c r="L13" s="11">
        <f t="shared" ref="L13:O13" si="2">$D$15</f>
        <v>0.02</v>
      </c>
      <c r="M13" s="11">
        <f t="shared" si="2"/>
        <v>0.02</v>
      </c>
      <c r="N13" s="11">
        <f t="shared" si="2"/>
        <v>0.02</v>
      </c>
      <c r="O13" s="11">
        <f t="shared" si="2"/>
        <v>0.02</v>
      </c>
      <c r="P13" s="18">
        <f t="shared" si="1"/>
        <v>2.4018739103520054E-2</v>
      </c>
      <c r="Q13" s="18">
        <f t="shared" si="1"/>
        <v>2.8844991406148168E-2</v>
      </c>
      <c r="R13" s="18">
        <f t="shared" si="1"/>
        <v>3.4641016151377546E-2</v>
      </c>
      <c r="S13" s="18">
        <f t="shared" si="1"/>
        <v>4.160167646103808E-2</v>
      </c>
      <c r="T13" s="18">
        <f t="shared" si="1"/>
        <v>4.9960990659336256E-2</v>
      </c>
      <c r="U13" s="11">
        <f>D24</f>
        <v>0.06</v>
      </c>
    </row>
    <row r="14" spans="2:22" x14ac:dyDescent="0.35">
      <c r="C14" t="s">
        <v>7</v>
      </c>
      <c r="D14" s="2">
        <f>D32</f>
        <v>8.9840000000000003E-2</v>
      </c>
      <c r="F14" t="s">
        <v>19</v>
      </c>
      <c r="G14" s="38">
        <v>519312</v>
      </c>
      <c r="I14" s="22" t="s">
        <v>23</v>
      </c>
      <c r="J14" s="23">
        <f>G27</f>
        <v>85811</v>
      </c>
      <c r="K14" s="23">
        <f>K11*K13</f>
        <v>244918.77080000003</v>
      </c>
      <c r="L14" s="23">
        <f t="shared" ref="L14:U14" si="3">L11*L13</f>
        <v>266961.46017200005</v>
      </c>
      <c r="M14" s="23">
        <f t="shared" si="3"/>
        <v>290987.99158748006</v>
      </c>
      <c r="N14" s="23">
        <f t="shared" si="3"/>
        <v>317176.91083035333</v>
      </c>
      <c r="O14" s="23">
        <f t="shared" si="3"/>
        <v>345722.83280508511</v>
      </c>
      <c r="P14" s="23">
        <f t="shared" si="3"/>
        <v>447116.13979191636</v>
      </c>
      <c r="Q14" s="23">
        <f t="shared" si="3"/>
        <v>572232.5825207954</v>
      </c>
      <c r="R14" s="23">
        <f t="shared" si="3"/>
        <v>725785.11584976153</v>
      </c>
      <c r="S14" s="23">
        <f t="shared" si="3"/>
        <v>913416.85949227121</v>
      </c>
      <c r="T14" s="23">
        <f t="shared" si="3"/>
        <v>1141894.6774889547</v>
      </c>
      <c r="U14" s="23">
        <f t="shared" si="3"/>
        <v>33769701.170932747</v>
      </c>
    </row>
    <row r="15" spans="2:22" x14ac:dyDescent="0.35">
      <c r="C15" t="s">
        <v>22</v>
      </c>
      <c r="D15" s="27">
        <v>0.02</v>
      </c>
      <c r="F15" t="s">
        <v>20</v>
      </c>
      <c r="G15" s="38">
        <v>642916</v>
      </c>
      <c r="I15" s="17" t="s">
        <v>50</v>
      </c>
      <c r="J15" s="34">
        <f>G14</f>
        <v>519312</v>
      </c>
      <c r="K15" s="12">
        <f>J15*(1+K16)</f>
        <v>566050.08000000007</v>
      </c>
      <c r="L15" s="12">
        <f t="shared" ref="L15:T15" si="4">K15*(1+L16)</f>
        <v>616994.58720000018</v>
      </c>
      <c r="M15" s="12">
        <f t="shared" si="4"/>
        <v>672524.10004800023</v>
      </c>
      <c r="N15" s="12">
        <f t="shared" si="4"/>
        <v>733051.26905232028</v>
      </c>
      <c r="O15" s="12">
        <f t="shared" si="4"/>
        <v>799025.88326702919</v>
      </c>
      <c r="P15" s="12">
        <f t="shared" si="4"/>
        <v>845104.7946024338</v>
      </c>
      <c r="Q15" s="12">
        <f t="shared" si="4"/>
        <v>886742.76161312312</v>
      </c>
      <c r="R15" s="12">
        <f t="shared" si="4"/>
        <v>924068.99715990142</v>
      </c>
      <c r="S15" s="12">
        <f t="shared" si="4"/>
        <v>957301.15402550879</v>
      </c>
      <c r="T15" s="12">
        <f t="shared" si="4"/>
        <v>986714.22026847105</v>
      </c>
      <c r="U15" s="12">
        <f>(T15*(1+U16))/($U$28-U16)</f>
        <v>24298101.783913098</v>
      </c>
    </row>
    <row r="16" spans="2:22" x14ac:dyDescent="0.35">
      <c r="C16" t="s">
        <v>47</v>
      </c>
      <c r="D16" s="27">
        <v>8.0000000000000002E-3</v>
      </c>
      <c r="F16" s="1" t="s">
        <v>18</v>
      </c>
      <c r="G16" s="39">
        <v>0.17899999999999999</v>
      </c>
      <c r="I16" s="16" t="s">
        <v>12</v>
      </c>
      <c r="J16" s="19"/>
      <c r="K16" s="21">
        <f>K12</f>
        <v>0.09</v>
      </c>
      <c r="L16" s="21">
        <f t="shared" ref="L16:O16" si="5">L12</f>
        <v>0.09</v>
      </c>
      <c r="M16" s="21">
        <f t="shared" si="5"/>
        <v>0.09</v>
      </c>
      <c r="N16" s="21">
        <f t="shared" si="5"/>
        <v>0.09</v>
      </c>
      <c r="O16" s="21">
        <f t="shared" si="5"/>
        <v>0.09</v>
      </c>
      <c r="P16" s="21">
        <f>P12*0.75</f>
        <v>5.7668859420421742E-2</v>
      </c>
      <c r="Q16" s="21">
        <f t="shared" ref="Q16:T16" si="6">Q12*0.75</f>
        <v>4.9269590323738746E-2</v>
      </c>
      <c r="R16" s="21">
        <f t="shared" si="6"/>
        <v>4.2093645601206833E-2</v>
      </c>
      <c r="S16" s="21">
        <f t="shared" si="6"/>
        <v>3.5962852306208166E-2</v>
      </c>
      <c r="T16" s="21">
        <f t="shared" si="6"/>
        <v>3.0724987763023834E-2</v>
      </c>
      <c r="U16" s="21">
        <f t="shared" ref="U16" si="7">U12</f>
        <v>3.5000000000000003E-2</v>
      </c>
    </row>
    <row r="17" spans="3:21" x14ac:dyDescent="0.35">
      <c r="C17" t="s">
        <v>48</v>
      </c>
      <c r="D17" s="27">
        <v>5.0000000000000001E-3</v>
      </c>
      <c r="F17" t="s">
        <v>30</v>
      </c>
      <c r="G17" s="3">
        <f>G14/(G14+G15)</f>
        <v>0.44682454733494631</v>
      </c>
      <c r="I17" s="17" t="s">
        <v>39</v>
      </c>
      <c r="J17" s="20">
        <v>0.05</v>
      </c>
      <c r="K17" s="20">
        <v>0.05</v>
      </c>
      <c r="L17" s="20">
        <v>0.05</v>
      </c>
      <c r="M17" s="20">
        <v>0.05</v>
      </c>
      <c r="N17" s="20">
        <v>0.05</v>
      </c>
      <c r="O17" s="20">
        <v>0.05</v>
      </c>
      <c r="P17" s="20">
        <v>0.05</v>
      </c>
      <c r="Q17" s="20">
        <v>0.05</v>
      </c>
      <c r="R17" s="20">
        <v>0.05</v>
      </c>
      <c r="S17" s="20">
        <v>0.05</v>
      </c>
      <c r="T17" s="20">
        <v>0.05</v>
      </c>
      <c r="U17" s="20">
        <v>0.05</v>
      </c>
    </row>
    <row r="18" spans="3:21" x14ac:dyDescent="0.35">
      <c r="I18" s="22" t="s">
        <v>24</v>
      </c>
      <c r="J18" s="33">
        <f t="shared" ref="J18:U18" si="8">J15*J17</f>
        <v>25965.600000000002</v>
      </c>
      <c r="K18" s="33">
        <f t="shared" si="8"/>
        <v>28302.504000000004</v>
      </c>
      <c r="L18" s="33">
        <f t="shared" si="8"/>
        <v>30849.729360000012</v>
      </c>
      <c r="M18" s="33">
        <f t="shared" si="8"/>
        <v>33626.205002400013</v>
      </c>
      <c r="N18" s="33">
        <f t="shared" si="8"/>
        <v>36652.563452616014</v>
      </c>
      <c r="O18" s="33">
        <f t="shared" si="8"/>
        <v>39951.294163351464</v>
      </c>
      <c r="P18" s="33">
        <f t="shared" si="8"/>
        <v>42255.239730121692</v>
      </c>
      <c r="Q18" s="33">
        <f t="shared" si="8"/>
        <v>44337.138080656157</v>
      </c>
      <c r="R18" s="33">
        <f t="shared" si="8"/>
        <v>46203.449857995074</v>
      </c>
      <c r="S18" s="33">
        <f t="shared" si="8"/>
        <v>47865.057701275444</v>
      </c>
      <c r="T18" s="33">
        <f t="shared" si="8"/>
        <v>49335.711013423555</v>
      </c>
      <c r="U18" s="33">
        <f t="shared" si="8"/>
        <v>1214905.089195655</v>
      </c>
    </row>
    <row r="19" spans="3:21" x14ac:dyDescent="0.35">
      <c r="C19" s="6" t="s">
        <v>8</v>
      </c>
      <c r="D19" s="1"/>
      <c r="F19" s="6" t="s">
        <v>14</v>
      </c>
      <c r="G19" s="1"/>
      <c r="I19" s="17" t="s">
        <v>25</v>
      </c>
      <c r="J19" s="11">
        <f t="shared" ref="J19:O19" si="9">$G$16</f>
        <v>0.17899999999999999</v>
      </c>
      <c r="K19" s="11">
        <f t="shared" si="9"/>
        <v>0.17899999999999999</v>
      </c>
      <c r="L19" s="11">
        <f t="shared" si="9"/>
        <v>0.17899999999999999</v>
      </c>
      <c r="M19" s="11">
        <f t="shared" si="9"/>
        <v>0.17899999999999999</v>
      </c>
      <c r="N19" s="11">
        <f t="shared" si="9"/>
        <v>0.17899999999999999</v>
      </c>
      <c r="O19" s="11">
        <f t="shared" si="9"/>
        <v>0.17899999999999999</v>
      </c>
      <c r="P19" s="11">
        <f>($U19/$O19)^(1/($D$10+1))*O19</f>
        <v>0.18382902125959372</v>
      </c>
      <c r="Q19" s="11">
        <f>($U19/$O19)^(1/($D$10+1))*P19</f>
        <v>0.18878831875564334</v>
      </c>
      <c r="R19" s="11">
        <f>($U19/$O19)^(1/($D$10+1))*Q19</f>
        <v>0.19388140705080512</v>
      </c>
      <c r="S19" s="11">
        <f>($U19/$O19)^(1/($D$10+1))*R19</f>
        <v>0.1991118955228067</v>
      </c>
      <c r="T19" s="11">
        <f>($U19/$O19)^(1/($D$10+1))*S19</f>
        <v>0.20448349092234658</v>
      </c>
      <c r="U19" s="14">
        <f>D21</f>
        <v>0.21</v>
      </c>
    </row>
    <row r="20" spans="3:21" x14ac:dyDescent="0.35">
      <c r="C20" t="s">
        <v>9</v>
      </c>
      <c r="D20" s="26">
        <v>0.8</v>
      </c>
      <c r="F20" t="s">
        <v>58</v>
      </c>
      <c r="G20" s="38">
        <v>434035</v>
      </c>
      <c r="I20" s="22" t="s">
        <v>17</v>
      </c>
      <c r="J20" s="23">
        <f t="shared" ref="J20:U20" si="10">(J14-J18)-J19*(J14-J18)</f>
        <v>49133.073399999994</v>
      </c>
      <c r="K20" s="23">
        <f t="shared" si="10"/>
        <v>177841.95504280002</v>
      </c>
      <c r="L20" s="23">
        <f t="shared" si="10"/>
        <v>193847.73099665204</v>
      </c>
      <c r="M20" s="23">
        <f t="shared" si="10"/>
        <v>211294.02678635073</v>
      </c>
      <c r="N20" s="23">
        <f t="shared" si="10"/>
        <v>230310.48919712231</v>
      </c>
      <c r="O20" s="23">
        <f t="shared" si="10"/>
        <v>251038.43322486331</v>
      </c>
      <c r="P20" s="23">
        <f t="shared" si="10"/>
        <v>330435.71705715678</v>
      </c>
      <c r="Q20" s="23">
        <f t="shared" si="10"/>
        <v>428234.95100552222</v>
      </c>
      <c r="R20" s="23">
        <f t="shared" si="10"/>
        <v>547823.4163833526</v>
      </c>
      <c r="S20" s="23">
        <f t="shared" si="10"/>
        <v>693210.14186320989</v>
      </c>
      <c r="T20" s="23">
        <f t="shared" si="10"/>
        <v>869148.69497210358</v>
      </c>
      <c r="U20" s="23">
        <f t="shared" si="10"/>
        <v>25718288.904572304</v>
      </c>
    </row>
    <row r="21" spans="3:21" x14ac:dyDescent="0.35">
      <c r="C21" t="s">
        <v>10</v>
      </c>
      <c r="D21" s="52">
        <v>0.21</v>
      </c>
      <c r="F21" s="1" t="s">
        <v>60</v>
      </c>
      <c r="G21" s="37">
        <v>17388</v>
      </c>
      <c r="I21" s="17" t="s">
        <v>59</v>
      </c>
      <c r="J21" s="11">
        <f>G17</f>
        <v>0.44682454733494631</v>
      </c>
      <c r="K21" s="11">
        <f>J21</f>
        <v>0.44682454733494631</v>
      </c>
      <c r="L21" s="11">
        <f t="shared" ref="L21:U21" si="11">K21</f>
        <v>0.44682454733494631</v>
      </c>
      <c r="M21" s="11">
        <f t="shared" si="11"/>
        <v>0.44682454733494631</v>
      </c>
      <c r="N21" s="11">
        <f t="shared" si="11"/>
        <v>0.44682454733494631</v>
      </c>
      <c r="O21" s="11">
        <f t="shared" si="11"/>
        <v>0.44682454733494631</v>
      </c>
      <c r="P21" s="11">
        <f t="shared" si="11"/>
        <v>0.44682454733494631</v>
      </c>
      <c r="Q21" s="11">
        <f t="shared" si="11"/>
        <v>0.44682454733494631</v>
      </c>
      <c r="R21" s="11">
        <f t="shared" si="11"/>
        <v>0.44682454733494631</v>
      </c>
      <c r="S21" s="11">
        <f t="shared" si="11"/>
        <v>0.44682454733494631</v>
      </c>
      <c r="T21" s="11">
        <f t="shared" si="11"/>
        <v>0.44682454733494631</v>
      </c>
      <c r="U21" s="11">
        <f t="shared" si="11"/>
        <v>0.44682454733494631</v>
      </c>
    </row>
    <row r="22" spans="3:21" x14ac:dyDescent="0.35">
      <c r="C22" t="s">
        <v>12</v>
      </c>
      <c r="D22" s="27">
        <v>3.5000000000000003E-2</v>
      </c>
      <c r="F22" t="s">
        <v>14</v>
      </c>
      <c r="G22" s="7">
        <f>SUM(G20:G21)</f>
        <v>451423</v>
      </c>
      <c r="I22" s="17" t="s">
        <v>65</v>
      </c>
      <c r="J22" s="15">
        <f>($G$9-$G$10)*(1-$G$17)</f>
        <v>23351.19538334991</v>
      </c>
      <c r="K22" s="15">
        <f t="shared" ref="K22:T22" si="12">K11*K23*(1-$G$17)</f>
        <v>54193.220761383411</v>
      </c>
      <c r="L22" s="15">
        <f t="shared" si="12"/>
        <v>59070.610629907926</v>
      </c>
      <c r="M22" s="15">
        <f t="shared" si="12"/>
        <v>64386.965586599646</v>
      </c>
      <c r="N22" s="15">
        <f t="shared" si="12"/>
        <v>70181.792489393629</v>
      </c>
      <c r="O22" s="15">
        <f t="shared" si="12"/>
        <v>76498.153813439043</v>
      </c>
      <c r="P22" s="15">
        <f t="shared" si="12"/>
        <v>95972.401897317133</v>
      </c>
      <c r="Q22" s="15">
        <f t="shared" si="12"/>
        <v>119152.10662974002</v>
      </c>
      <c r="R22" s="15">
        <f t="shared" si="12"/>
        <v>146602.14537319413</v>
      </c>
      <c r="S22" s="15">
        <f t="shared" si="12"/>
        <v>178979.96435635918</v>
      </c>
      <c r="T22" s="15">
        <f t="shared" si="12"/>
        <v>217052.38795221233</v>
      </c>
      <c r="U22" s="12">
        <f>U11*U23</f>
        <v>11256567.056977583</v>
      </c>
    </row>
    <row r="23" spans="3:21" x14ac:dyDescent="0.35">
      <c r="C23" t="s">
        <v>7</v>
      </c>
      <c r="D23" s="2">
        <f>D29+D20*D30</f>
        <v>7.7030000000000001E-2</v>
      </c>
      <c r="I23" s="16" t="s">
        <v>46</v>
      </c>
      <c r="J23" s="19">
        <f>J22/J11</f>
        <v>2.0784689458233554E-3</v>
      </c>
      <c r="K23" s="30">
        <f>$D$16</f>
        <v>8.0000000000000002E-3</v>
      </c>
      <c r="L23" s="30">
        <f t="shared" ref="L23:O23" si="13">$D$16</f>
        <v>8.0000000000000002E-3</v>
      </c>
      <c r="M23" s="30">
        <f t="shared" si="13"/>
        <v>8.0000000000000002E-3</v>
      </c>
      <c r="N23" s="30">
        <f t="shared" si="13"/>
        <v>8.0000000000000002E-3</v>
      </c>
      <c r="O23" s="30">
        <f t="shared" si="13"/>
        <v>8.0000000000000002E-3</v>
      </c>
      <c r="P23" s="18">
        <f>($U23/$O23)^(1/($D$10+1))*O23</f>
        <v>9.3199444060057032E-3</v>
      </c>
      <c r="Q23" s="18">
        <f>($U23/$O23)^(1/($D$10+1))*P23</f>
        <v>1.0857670466379626E-2</v>
      </c>
      <c r="R23" s="18">
        <f>($U23/$O23)^(1/($D$10+1))*Q23</f>
        <v>1.2649110640673516E-2</v>
      </c>
      <c r="S23" s="18">
        <f>($U23/$O23)^(1/($D$10+1))*R23</f>
        <v>1.4736125994561543E-2</v>
      </c>
      <c r="T23" s="18">
        <f>($U23/$O23)^(1/($D$10+1))*S23</f>
        <v>1.7167484378651135E-2</v>
      </c>
      <c r="U23" s="30">
        <f>D25</f>
        <v>0.02</v>
      </c>
    </row>
    <row r="24" spans="3:21" x14ac:dyDescent="0.35">
      <c r="C24" t="s">
        <v>22</v>
      </c>
      <c r="D24" s="27">
        <v>0.06</v>
      </c>
      <c r="F24" s="6" t="s">
        <v>27</v>
      </c>
      <c r="G24" s="6"/>
      <c r="I24" s="17" t="s">
        <v>15</v>
      </c>
      <c r="J24" s="15">
        <f>G11*(1-$G$17)</f>
        <v>24036.579769201911</v>
      </c>
      <c r="K24" s="15">
        <f t="shared" ref="K24:U24" si="14">K11*K25*(1-$G$17)</f>
        <v>33870.762975864636</v>
      </c>
      <c r="L24" s="15">
        <f t="shared" si="14"/>
        <v>36919.131643692454</v>
      </c>
      <c r="M24" s="15">
        <f t="shared" si="14"/>
        <v>40241.853491624774</v>
      </c>
      <c r="N24" s="15">
        <f t="shared" si="14"/>
        <v>43863.620305871016</v>
      </c>
      <c r="O24" s="15">
        <f t="shared" si="14"/>
        <v>47811.346133399406</v>
      </c>
      <c r="P24" s="15">
        <f t="shared" si="14"/>
        <v>54457.502387394619</v>
      </c>
      <c r="Q24" s="15">
        <f t="shared" si="14"/>
        <v>61382.478186796179</v>
      </c>
      <c r="R24" s="15">
        <f t="shared" si="14"/>
        <v>68566.875019064901</v>
      </c>
      <c r="S24" s="15">
        <f t="shared" si="14"/>
        <v>75999.333906385538</v>
      </c>
      <c r="T24" s="15">
        <f t="shared" si="14"/>
        <v>83676.07002747865</v>
      </c>
      <c r="U24" s="15">
        <f t="shared" si="14"/>
        <v>2179399.8020193367</v>
      </c>
    </row>
    <row r="25" spans="3:21" x14ac:dyDescent="0.35">
      <c r="C25" t="s">
        <v>47</v>
      </c>
      <c r="D25" s="27">
        <v>0.02</v>
      </c>
      <c r="F25" t="s">
        <v>23</v>
      </c>
      <c r="G25" s="38">
        <v>106803</v>
      </c>
      <c r="I25" s="25" t="s">
        <v>49</v>
      </c>
      <c r="J25" s="24">
        <f>J24/J11</f>
        <v>2.1394743949474438E-3</v>
      </c>
      <c r="K25" s="31">
        <f>$D$17</f>
        <v>5.0000000000000001E-3</v>
      </c>
      <c r="L25" s="31">
        <f t="shared" ref="L25:O25" si="15">$D$17</f>
        <v>5.0000000000000001E-3</v>
      </c>
      <c r="M25" s="31">
        <f t="shared" si="15"/>
        <v>5.0000000000000001E-3</v>
      </c>
      <c r="N25" s="31">
        <f t="shared" si="15"/>
        <v>5.0000000000000001E-3</v>
      </c>
      <c r="O25" s="31">
        <f t="shared" si="15"/>
        <v>5.0000000000000001E-3</v>
      </c>
      <c r="P25" s="32">
        <f>($U25/$O25)^(1/($D$10+1))*O25</f>
        <v>5.2884046320260825E-3</v>
      </c>
      <c r="Q25" s="32">
        <f>($U25/$O25)^(1/($D$10+1))*P25</f>
        <v>5.5934447104069853E-3</v>
      </c>
      <c r="R25" s="32">
        <f>($U25/$O25)^(1/($D$10+1))*Q25</f>
        <v>5.9160797830996184E-3</v>
      </c>
      <c r="S25" s="32">
        <f>($U25/$O25)^(1/($D$10+1))*R25</f>
        <v>6.2573247456759766E-3</v>
      </c>
      <c r="T25" s="32">
        <f>($U25/$O25)^(1/($D$10+1))*S25</f>
        <v>6.6182530338248528E-3</v>
      </c>
      <c r="U25" s="31">
        <f>D26</f>
        <v>7.0000000000000001E-3</v>
      </c>
    </row>
    <row r="26" spans="3:21" x14ac:dyDescent="0.35">
      <c r="C26" t="s">
        <v>48</v>
      </c>
      <c r="D26" s="27">
        <v>7.0000000000000001E-3</v>
      </c>
      <c r="F26" s="1" t="s">
        <v>45</v>
      </c>
      <c r="G26" s="37">
        <v>-20992</v>
      </c>
      <c r="I26" s="17" t="s">
        <v>4</v>
      </c>
      <c r="J26" s="15">
        <f t="shared" ref="J26:U26" si="16">J20-J22-J24</f>
        <v>1745.2982474481723</v>
      </c>
      <c r="K26" s="15">
        <f t="shared" si="16"/>
        <v>89777.971305551968</v>
      </c>
      <c r="L26" s="15">
        <f t="shared" si="16"/>
        <v>97857.988723051662</v>
      </c>
      <c r="M26" s="15">
        <f t="shared" si="16"/>
        <v>106665.20770812633</v>
      </c>
      <c r="N26" s="15">
        <f t="shared" si="16"/>
        <v>116265.07640185766</v>
      </c>
      <c r="O26" s="15">
        <f t="shared" si="16"/>
        <v>126728.93327802487</v>
      </c>
      <c r="P26" s="15">
        <f t="shared" si="16"/>
        <v>180005.81277244503</v>
      </c>
      <c r="Q26" s="15">
        <f t="shared" si="16"/>
        <v>247700.36618898599</v>
      </c>
      <c r="R26" s="15">
        <f t="shared" si="16"/>
        <v>332654.3959910936</v>
      </c>
      <c r="S26" s="15">
        <f t="shared" si="16"/>
        <v>438230.84360046516</v>
      </c>
      <c r="T26" s="15">
        <f t="shared" si="16"/>
        <v>568420.2369924126</v>
      </c>
      <c r="U26" s="15">
        <f t="shared" si="16"/>
        <v>12282322.045575384</v>
      </c>
    </row>
    <row r="27" spans="3:21" x14ac:dyDescent="0.35">
      <c r="F27" t="s">
        <v>44</v>
      </c>
      <c r="G27" s="4">
        <f>G25+G26</f>
        <v>85811</v>
      </c>
      <c r="I27" s="17" t="s">
        <v>9</v>
      </c>
      <c r="J27" s="28">
        <f t="shared" ref="J27:O27" si="17">$D$31</f>
        <v>1.1000000000000001</v>
      </c>
      <c r="K27" s="28">
        <f t="shared" si="17"/>
        <v>1.1000000000000001</v>
      </c>
      <c r="L27" s="28">
        <f t="shared" si="17"/>
        <v>1.1000000000000001</v>
      </c>
      <c r="M27" s="28">
        <f t="shared" si="17"/>
        <v>1.1000000000000001</v>
      </c>
      <c r="N27" s="28">
        <f t="shared" si="17"/>
        <v>1.1000000000000001</v>
      </c>
      <c r="O27" s="28">
        <f t="shared" si="17"/>
        <v>1.1000000000000001</v>
      </c>
      <c r="P27" s="29">
        <f>($U27/$O27)^(1/($D$10+1))*O27</f>
        <v>1.0431391266339856</v>
      </c>
      <c r="Q27" s="29">
        <f>($U27/$O27)^(1/($D$10+1))*P27</f>
        <v>0.98921748864974013</v>
      </c>
      <c r="R27" s="29">
        <f>($U27/$O27)^(1/($D$10+1))*Q27</f>
        <v>0.93808315196468584</v>
      </c>
      <c r="S27" s="29">
        <f>($U27/$O27)^(1/($D$10+1))*R27</f>
        <v>0.88959203622772609</v>
      </c>
      <c r="T27" s="29">
        <f>($U27/$O27)^(1/($D$10+1))*S27</f>
        <v>0.84360750884649005</v>
      </c>
      <c r="U27" s="10">
        <f>D20</f>
        <v>0.8</v>
      </c>
    </row>
    <row r="28" spans="3:21" x14ac:dyDescent="0.35">
      <c r="C28" s="6" t="s">
        <v>7</v>
      </c>
      <c r="D28" s="1"/>
      <c r="I28" s="17" t="s">
        <v>7</v>
      </c>
      <c r="J28" s="11">
        <f t="shared" ref="J28:U28" si="18">J27*$D$30+$D$29</f>
        <v>8.9840000000000003E-2</v>
      </c>
      <c r="K28" s="11">
        <f t="shared" si="18"/>
        <v>8.9840000000000003E-2</v>
      </c>
      <c r="L28" s="11">
        <f t="shared" si="18"/>
        <v>8.9840000000000003E-2</v>
      </c>
      <c r="M28" s="11">
        <f t="shared" si="18"/>
        <v>8.9840000000000003E-2</v>
      </c>
      <c r="N28" s="11">
        <f t="shared" si="18"/>
        <v>8.9840000000000003E-2</v>
      </c>
      <c r="O28" s="11">
        <f t="shared" si="18"/>
        <v>8.9840000000000003E-2</v>
      </c>
      <c r="P28" s="11">
        <f t="shared" si="18"/>
        <v>8.7412040707271182E-2</v>
      </c>
      <c r="Q28" s="11">
        <f t="shared" si="18"/>
        <v>8.51095867653439E-2</v>
      </c>
      <c r="R28" s="11">
        <f t="shared" si="18"/>
        <v>8.2926150588892078E-2</v>
      </c>
      <c r="S28" s="11">
        <f t="shared" si="18"/>
        <v>8.0855579946923911E-2</v>
      </c>
      <c r="T28" s="11">
        <f t="shared" si="18"/>
        <v>7.889204062774513E-2</v>
      </c>
      <c r="U28" s="11">
        <f t="shared" si="18"/>
        <v>7.7030000000000001E-2</v>
      </c>
    </row>
    <row r="29" spans="3:21" x14ac:dyDescent="0.35">
      <c r="C29" t="s">
        <v>5</v>
      </c>
      <c r="D29" s="45">
        <v>4.2869999999999998E-2</v>
      </c>
      <c r="F29" s="6" t="s">
        <v>53</v>
      </c>
      <c r="G29" s="8"/>
      <c r="I29" s="17" t="s">
        <v>32</v>
      </c>
      <c r="J29" s="11">
        <v>0</v>
      </c>
      <c r="K29" s="11">
        <f>K28</f>
        <v>8.9840000000000003E-2</v>
      </c>
      <c r="L29" s="11">
        <f>K29*(1+L28)</f>
        <v>9.7911225599999999E-2</v>
      </c>
      <c r="M29" s="11">
        <f t="shared" ref="M29:T29" si="19">L29*(1+M28)</f>
        <v>0.10670757010790399</v>
      </c>
      <c r="N29" s="11">
        <f t="shared" si="19"/>
        <v>0.11629417820639808</v>
      </c>
      <c r="O29" s="11">
        <f t="shared" si="19"/>
        <v>0.12674204717646087</v>
      </c>
      <c r="P29" s="13">
        <f t="shared" si="19"/>
        <v>0.13782082816357255</v>
      </c>
      <c r="Q29" s="11">
        <f t="shared" si="19"/>
        <v>0.14955070189623168</v>
      </c>
      <c r="R29" s="11">
        <f t="shared" si="19"/>
        <v>0.1619523659223531</v>
      </c>
      <c r="S29" s="11">
        <f t="shared" si="19"/>
        <v>0.17504711839278139</v>
      </c>
      <c r="T29" s="11">
        <f t="shared" si="19"/>
        <v>0.18885694276879442</v>
      </c>
      <c r="U29" s="11">
        <f>T29*(1+U28)</f>
        <v>0.20340459307027464</v>
      </c>
    </row>
    <row r="30" spans="3:21" x14ac:dyDescent="0.35">
      <c r="C30" t="s">
        <v>6</v>
      </c>
      <c r="D30" s="45">
        <v>4.2700000000000002E-2</v>
      </c>
      <c r="F30" t="s">
        <v>33</v>
      </c>
      <c r="G30" s="4">
        <f>SUM(K30:O30)</f>
        <v>484515.42035404616</v>
      </c>
      <c r="I30" s="17" t="s">
        <v>11</v>
      </c>
      <c r="J30" s="12">
        <f>J26</f>
        <v>1745.2982474481723</v>
      </c>
      <c r="K30" s="12">
        <f t="shared" ref="K30:P30" si="20">K26/(1+K29)</f>
        <v>82377.203356044905</v>
      </c>
      <c r="L30" s="12">
        <f t="shared" si="20"/>
        <v>89131.057631342657</v>
      </c>
      <c r="M30" s="12">
        <f t="shared" si="20"/>
        <v>96380.661512712395</v>
      </c>
      <c r="N30" s="12">
        <f t="shared" si="20"/>
        <v>104152.72127340679</v>
      </c>
      <c r="O30" s="12">
        <f t="shared" si="20"/>
        <v>112473.77658053942</v>
      </c>
      <c r="P30" s="12">
        <f t="shared" si="20"/>
        <v>158202.24794352904</v>
      </c>
      <c r="Q30" s="12">
        <f t="shared" ref="Q30:U30" si="21">Q26/(1+Q29)</f>
        <v>215475.80787902087</v>
      </c>
      <c r="R30" s="12">
        <f t="shared" si="21"/>
        <v>286289.18512251909</v>
      </c>
      <c r="S30" s="12">
        <f t="shared" si="21"/>
        <v>372947.46460880077</v>
      </c>
      <c r="T30" s="12">
        <f t="shared" si="21"/>
        <v>478123.32715876424</v>
      </c>
      <c r="U30" s="12">
        <f t="shared" si="21"/>
        <v>10206311.423691018</v>
      </c>
    </row>
    <row r="31" spans="3:21" x14ac:dyDescent="0.35">
      <c r="C31" s="1" t="s">
        <v>9</v>
      </c>
      <c r="D31" s="46">
        <v>1.1000000000000001</v>
      </c>
      <c r="F31" t="s">
        <v>34</v>
      </c>
      <c r="G31" s="4">
        <f>SUM(P30:T30)</f>
        <v>1511038.032712634</v>
      </c>
    </row>
    <row r="32" spans="3:21" x14ac:dyDescent="0.35">
      <c r="C32" t="s">
        <v>7</v>
      </c>
      <c r="D32" s="2">
        <f>D29+D31*D30</f>
        <v>8.9840000000000003E-2</v>
      </c>
      <c r="F32" s="1" t="s">
        <v>35</v>
      </c>
      <c r="G32" s="5">
        <f>U30</f>
        <v>10206311.423691018</v>
      </c>
    </row>
    <row r="33" spans="3:7" x14ac:dyDescent="0.35">
      <c r="F33" t="s">
        <v>36</v>
      </c>
      <c r="G33" s="7">
        <f>SUM(G30:G32)</f>
        <v>12201864.876757698</v>
      </c>
    </row>
    <row r="34" spans="3:7" x14ac:dyDescent="0.35">
      <c r="C34" s="6" t="s">
        <v>29</v>
      </c>
      <c r="D34" s="6"/>
      <c r="F34" s="35" t="s">
        <v>37</v>
      </c>
      <c r="G34" s="36">
        <f>G33/G22</f>
        <v>27.029781107204769</v>
      </c>
    </row>
    <row r="35" spans="3:7" x14ac:dyDescent="0.35">
      <c r="C35" t="s">
        <v>52</v>
      </c>
      <c r="D35" s="38">
        <v>11234806</v>
      </c>
    </row>
    <row r="65" spans="10:10" x14ac:dyDescent="0.35">
      <c r="J65" s="7"/>
    </row>
    <row r="66" spans="10:10" x14ac:dyDescent="0.35">
      <c r="J66" s="2"/>
    </row>
    <row r="70" spans="10:10" x14ac:dyDescent="0.35">
      <c r="J70" s="2"/>
    </row>
  </sheetData>
  <phoneticPr fontId="10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98CE-717B-4FD1-9918-B32D63F79B9A}">
  <sheetPr>
    <tabColor theme="7" tint="0.79998168889431442"/>
  </sheetPr>
  <dimension ref="B2:Q19"/>
  <sheetViews>
    <sheetView showGridLines="0" workbookViewId="0">
      <selection activeCell="O19" sqref="O19"/>
    </sheetView>
  </sheetViews>
  <sheetFormatPr defaultRowHeight="14.5" x14ac:dyDescent="0.35"/>
  <cols>
    <col min="1" max="1" width="5.1796875" customWidth="1"/>
    <col min="2" max="2" width="3.1796875" customWidth="1"/>
  </cols>
  <sheetData>
    <row r="2" spans="2:17" ht="20" customHeight="1" x14ac:dyDescent="0.3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17" ht="20" customHeight="1" x14ac:dyDescent="0.55000000000000004">
      <c r="B3" s="41" t="s">
        <v>42</v>
      </c>
      <c r="C3" s="53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ht="20" customHeight="1" x14ac:dyDescent="0.3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2:17" x14ac:dyDescent="0.35">
      <c r="C6" s="48" t="s">
        <v>64</v>
      </c>
      <c r="D6" s="49"/>
      <c r="E6" s="49"/>
      <c r="F6" s="49"/>
      <c r="G6" s="49"/>
    </row>
    <row r="7" spans="2:17" x14ac:dyDescent="0.35">
      <c r="C7" s="49" t="s">
        <v>63</v>
      </c>
      <c r="D7" s="49"/>
      <c r="E7" s="49"/>
      <c r="F7" s="49"/>
      <c r="G7" s="49"/>
    </row>
    <row r="8" spans="2:17" x14ac:dyDescent="0.35">
      <c r="C8" s="49" t="s">
        <v>56</v>
      </c>
      <c r="D8" s="49"/>
      <c r="E8" s="49"/>
      <c r="F8" s="49"/>
      <c r="G8" s="49"/>
    </row>
    <row r="9" spans="2:17" x14ac:dyDescent="0.35">
      <c r="C9" s="49"/>
      <c r="D9" s="49"/>
      <c r="E9" s="49"/>
      <c r="F9" s="49"/>
      <c r="G9" s="49"/>
    </row>
    <row r="10" spans="2:17" x14ac:dyDescent="0.35">
      <c r="C10" s="49"/>
      <c r="D10" s="49"/>
      <c r="E10" s="49"/>
      <c r="F10" s="49"/>
      <c r="G10" s="49"/>
    </row>
    <row r="11" spans="2:17" x14ac:dyDescent="0.35">
      <c r="C11" s="49"/>
      <c r="D11" s="49"/>
      <c r="E11" s="49"/>
      <c r="F11" s="49"/>
      <c r="G11" s="49"/>
      <c r="K11" s="9"/>
    </row>
    <row r="12" spans="2:17" x14ac:dyDescent="0.35">
      <c r="C12" s="49"/>
      <c r="D12" s="49"/>
      <c r="E12" s="49"/>
      <c r="F12" s="49"/>
      <c r="G12" s="49"/>
      <c r="K12" s="47"/>
    </row>
    <row r="13" spans="2:17" x14ac:dyDescent="0.35">
      <c r="C13" s="49"/>
      <c r="D13" s="49"/>
      <c r="E13" s="49"/>
      <c r="F13" s="49"/>
      <c r="G13" s="49"/>
    </row>
    <row r="14" spans="2:17" x14ac:dyDescent="0.35">
      <c r="C14" s="49"/>
      <c r="D14" s="49"/>
      <c r="E14" s="49"/>
      <c r="F14" s="49"/>
      <c r="G14" s="49"/>
    </row>
    <row r="15" spans="2:17" x14ac:dyDescent="0.35">
      <c r="C15" s="49"/>
      <c r="D15" s="49"/>
      <c r="E15" s="49"/>
      <c r="F15" s="49"/>
      <c r="G15" s="49"/>
    </row>
    <row r="16" spans="2:17" x14ac:dyDescent="0.35">
      <c r="C16" s="49"/>
      <c r="D16" s="49"/>
      <c r="E16" s="49"/>
      <c r="F16" s="49"/>
      <c r="G16" s="49"/>
    </row>
    <row r="17" spans="3:7" x14ac:dyDescent="0.35">
      <c r="C17" s="49"/>
      <c r="D17" s="49"/>
      <c r="E17" s="49"/>
      <c r="F17" s="49"/>
      <c r="G17" s="49"/>
    </row>
    <row r="18" spans="3:7" x14ac:dyDescent="0.35">
      <c r="C18" s="49"/>
      <c r="D18" s="49"/>
      <c r="E18" s="49"/>
      <c r="F18" s="49"/>
      <c r="G18" s="49"/>
    </row>
    <row r="19" spans="3:7" x14ac:dyDescent="0.35">
      <c r="C19" s="50" t="s">
        <v>55</v>
      </c>
      <c r="D19" s="49"/>
      <c r="E19" s="49"/>
      <c r="F19" s="49"/>
      <c r="G19" s="49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FDCF3E8F61D428177230DDB356BA4" ma:contentTypeVersion="8" ma:contentTypeDescription="Create a new document." ma:contentTypeScope="" ma:versionID="e0e28c3c32b7c6c1c8c14efb88943e79">
  <xsd:schema xmlns:xsd="http://www.w3.org/2001/XMLSchema" xmlns:xs="http://www.w3.org/2001/XMLSchema" xmlns:p="http://schemas.microsoft.com/office/2006/metadata/properties" xmlns:ns3="4fde199f-34e1-4a3f-8130-2eb912f930c1" xmlns:ns4="afec3cbe-67a0-46e3-bced-285230e6b7ab" targetNamespace="http://schemas.microsoft.com/office/2006/metadata/properties" ma:root="true" ma:fieldsID="f96f1d701405e6816c4bc943f6c102e8" ns3:_="" ns4:_="">
    <xsd:import namespace="4fde199f-34e1-4a3f-8130-2eb912f930c1"/>
    <xsd:import namespace="afec3cbe-67a0-46e3-bced-285230e6b7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99f-34e1-4a3f-8130-2eb912f930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c3cbe-67a0-46e3-bced-285230e6b7a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de199f-34e1-4a3f-8130-2eb912f930c1" xsi:nil="true"/>
  </documentManagement>
</p:properties>
</file>

<file path=customXml/itemProps1.xml><?xml version="1.0" encoding="utf-8"?>
<ds:datastoreItem xmlns:ds="http://schemas.openxmlformats.org/officeDocument/2006/customXml" ds:itemID="{AE972653-BC4B-4077-B05F-337A94E93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de199f-34e1-4a3f-8130-2eb912f930c1"/>
    <ds:schemaRef ds:uri="afec3cbe-67a0-46e3-bced-285230e6b7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B25846-FD65-40C0-9157-2682E15FA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76B85E-068D-46EC-9723-E6806D1686F1}">
  <ds:schemaRefs>
    <ds:schemaRef ds:uri="http://purl.org/dc/terms/"/>
    <ds:schemaRef ds:uri="http://schemas.microsoft.com/office/2006/metadata/properties"/>
    <ds:schemaRef ds:uri="afec3cbe-67a0-46e3-bced-285230e6b7a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4fde199f-34e1-4a3f-8130-2eb912f930c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Valuation</vt:lpstr>
      <vt:lpstr>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Brennen Curry</dc:creator>
  <cp:lastModifiedBy>Brennen Curry</cp:lastModifiedBy>
  <dcterms:created xsi:type="dcterms:W3CDTF">2024-04-09T02:03:20Z</dcterms:created>
  <dcterms:modified xsi:type="dcterms:W3CDTF">2024-06-08T15:58:46Z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0x010100A11FDCF3E8F61D428177230DDB356BA4</vt:lpwstr>
  </property>
</Properties>
</file>