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57fc1b5d840bea1/Asset_Management/Valuation_Models/"/>
    </mc:Choice>
  </mc:AlternateContent>
  <xr:revisionPtr revIDLastSave="1053" documentId="8_{9F09DA3C-8B1D-48A4-A01B-1ED666AC5DF3}" xr6:coauthVersionLast="47" xr6:coauthVersionMax="47" xr10:uidLastSave="{9B7B3637-A66B-4CF1-BA2C-CA9A2B50CD78}"/>
  <bookViews>
    <workbookView xWindow="-110" yWindow="-110" windowWidth="25820" windowHeight="15500" activeTab="1" xr2:uid="{9A01AF42-8690-439C-9073-E3F60472233E}"/>
  </bookViews>
  <sheets>
    <sheet name="Cover" sheetId="4" r:id="rId1"/>
    <sheet name="Valuation" sheetId="2" r:id="rId2"/>
    <sheet name="Support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2" l="1"/>
  <c r="L24" i="2"/>
  <c r="M24" i="2"/>
  <c r="N24" i="2"/>
  <c r="O24" i="2"/>
  <c r="K24" i="2"/>
  <c r="L22" i="2"/>
  <c r="M22" i="2"/>
  <c r="N22" i="2"/>
  <c r="O22" i="2"/>
  <c r="K22" i="2"/>
  <c r="Z24" i="2"/>
  <c r="Z22" i="2"/>
  <c r="J23" i="2"/>
  <c r="J24" i="2" s="1"/>
  <c r="L13" i="2"/>
  <c r="M13" i="2"/>
  <c r="N13" i="2"/>
  <c r="O13" i="2"/>
  <c r="K13" i="2"/>
  <c r="K17" i="2" l="1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J17" i="2"/>
  <c r="J15" i="2"/>
  <c r="Z12" i="2" l="1"/>
  <c r="Z16" i="2" s="1"/>
  <c r="G12" i="2" l="1"/>
  <c r="D25" i="2"/>
  <c r="J22" i="2" l="1"/>
  <c r="P26" i="2"/>
  <c r="Q26" i="2"/>
  <c r="R26" i="2"/>
  <c r="S26" i="2"/>
  <c r="T26" i="2"/>
  <c r="U26" i="2"/>
  <c r="V26" i="2"/>
  <c r="W26" i="2"/>
  <c r="X26" i="2"/>
  <c r="Y26" i="2"/>
  <c r="K26" i="2"/>
  <c r="L26" i="2"/>
  <c r="M26" i="2"/>
  <c r="N26" i="2"/>
  <c r="O26" i="2"/>
  <c r="J26" i="2"/>
  <c r="Z26" i="2"/>
  <c r="K19" i="2"/>
  <c r="L19" i="2"/>
  <c r="M19" i="2"/>
  <c r="N19" i="2"/>
  <c r="O19" i="2"/>
  <c r="J19" i="2"/>
  <c r="Z19" i="2"/>
  <c r="P19" i="2" s="1"/>
  <c r="Q19" i="2" s="1"/>
  <c r="R19" i="2" s="1"/>
  <c r="S19" i="2" s="1"/>
  <c r="T19" i="2" s="1"/>
  <c r="U19" i="2" s="1"/>
  <c r="V19" i="2" s="1"/>
  <c r="W19" i="2" s="1"/>
  <c r="X19" i="2" s="1"/>
  <c r="Y19" i="2" s="1"/>
  <c r="K12" i="2"/>
  <c r="L12" i="2"/>
  <c r="L16" i="2" s="1"/>
  <c r="M12" i="2"/>
  <c r="M16" i="2" s="1"/>
  <c r="N12" i="2"/>
  <c r="N16" i="2" s="1"/>
  <c r="O12" i="2"/>
  <c r="O16" i="2" s="1"/>
  <c r="Z13" i="2"/>
  <c r="Z27" i="2"/>
  <c r="K16" i="2" l="1"/>
  <c r="K15" i="2" s="1"/>
  <c r="L15" i="2" s="1"/>
  <c r="K11" i="2"/>
  <c r="L11" i="2" s="1"/>
  <c r="M11" i="2" s="1"/>
  <c r="N11" i="2" s="1"/>
  <c r="O11" i="2" s="1"/>
  <c r="Y13" i="2"/>
  <c r="X13" i="2" s="1"/>
  <c r="W13" i="2" s="1"/>
  <c r="V13" i="2" s="1"/>
  <c r="U13" i="2" s="1"/>
  <c r="T13" i="2" s="1"/>
  <c r="S13" i="2" s="1"/>
  <c r="R13" i="2" s="1"/>
  <c r="Q13" i="2" s="1"/>
  <c r="P13" i="2" s="1"/>
  <c r="P12" i="2"/>
  <c r="P16" i="2" s="1"/>
  <c r="K23" i="2"/>
  <c r="L23" i="2" s="1"/>
  <c r="K21" i="2"/>
  <c r="K14" i="2" l="1"/>
  <c r="K18" i="2"/>
  <c r="P11" i="2"/>
  <c r="M15" i="2"/>
  <c r="L18" i="2"/>
  <c r="Q12" i="2"/>
  <c r="Q16" i="2" s="1"/>
  <c r="L21" i="2"/>
  <c r="M21" i="2" s="1"/>
  <c r="N21" i="2" s="1"/>
  <c r="O21" i="2" s="1"/>
  <c r="M23" i="2"/>
  <c r="N23" i="2" s="1"/>
  <c r="O23" i="2" s="1"/>
  <c r="G25" i="2"/>
  <c r="K20" i="2" l="1"/>
  <c r="K25" i="2" s="1"/>
  <c r="Q11" i="2"/>
  <c r="N15" i="2"/>
  <c r="M18" i="2"/>
  <c r="R12" i="2"/>
  <c r="R16" i="2" s="1"/>
  <c r="L14" i="2"/>
  <c r="L20" i="2" s="1"/>
  <c r="L25" i="2" s="1"/>
  <c r="M14" i="2"/>
  <c r="G30" i="2"/>
  <c r="J14" i="2" s="1"/>
  <c r="D34" i="2"/>
  <c r="R11" i="2" l="1"/>
  <c r="M20" i="2"/>
  <c r="M25" i="2" s="1"/>
  <c r="O15" i="2"/>
  <c r="N18" i="2"/>
  <c r="S12" i="2"/>
  <c r="S16" i="2" s="1"/>
  <c r="N14" i="2"/>
  <c r="J13" i="2"/>
  <c r="J20" i="2"/>
  <c r="D14" i="2"/>
  <c r="J27" i="2"/>
  <c r="K27" i="2"/>
  <c r="K28" i="2" s="1"/>
  <c r="L27" i="2"/>
  <c r="M27" i="2"/>
  <c r="N27" i="2"/>
  <c r="O27" i="2"/>
  <c r="P27" i="2" s="1"/>
  <c r="Q27" i="2" s="1"/>
  <c r="R27" i="2" s="1"/>
  <c r="S27" i="2" s="1"/>
  <c r="T27" i="2" s="1"/>
  <c r="U27" i="2" s="1"/>
  <c r="V27" i="2" s="1"/>
  <c r="W27" i="2" s="1"/>
  <c r="X27" i="2" s="1"/>
  <c r="Y27" i="2" s="1"/>
  <c r="S11" i="2" l="1"/>
  <c r="N20" i="2"/>
  <c r="N25" i="2" s="1"/>
  <c r="P15" i="2"/>
  <c r="O18" i="2"/>
  <c r="T12" i="2"/>
  <c r="T16" i="2" s="1"/>
  <c r="J25" i="2"/>
  <c r="J29" i="2" s="1"/>
  <c r="K29" i="2"/>
  <c r="L28" i="2"/>
  <c r="O14" i="2"/>
  <c r="T11" i="2" l="1"/>
  <c r="O20" i="2"/>
  <c r="O25" i="2" s="1"/>
  <c r="Q15" i="2"/>
  <c r="P18" i="2"/>
  <c r="U12" i="2"/>
  <c r="U16" i="2" s="1"/>
  <c r="M28" i="2"/>
  <c r="M29" i="2" s="1"/>
  <c r="L29" i="2"/>
  <c r="P14" i="2"/>
  <c r="P24" i="2"/>
  <c r="U11" i="2" l="1"/>
  <c r="P20" i="2"/>
  <c r="R15" i="2"/>
  <c r="Q18" i="2"/>
  <c r="V12" i="2"/>
  <c r="V16" i="2" s="1"/>
  <c r="N28" i="2"/>
  <c r="Q24" i="2"/>
  <c r="R24" i="2" s="1"/>
  <c r="S24" i="2" s="1"/>
  <c r="T24" i="2" s="1"/>
  <c r="U24" i="2" s="1"/>
  <c r="V24" i="2" s="1"/>
  <c r="W24" i="2" s="1"/>
  <c r="X24" i="2" s="1"/>
  <c r="Y24" i="2" s="1"/>
  <c r="P23" i="2"/>
  <c r="Q14" i="2"/>
  <c r="R14" i="2"/>
  <c r="V11" i="2" l="1"/>
  <c r="Q20" i="2"/>
  <c r="S15" i="2"/>
  <c r="R18" i="2"/>
  <c r="W12" i="2"/>
  <c r="W16" i="2" s="1"/>
  <c r="Q23" i="2"/>
  <c r="R23" i="2" s="1"/>
  <c r="S23" i="2" s="1"/>
  <c r="T23" i="2" s="1"/>
  <c r="U23" i="2" s="1"/>
  <c r="V23" i="2" s="1"/>
  <c r="W23" i="2" s="1"/>
  <c r="X23" i="2" s="1"/>
  <c r="Y23" i="2" s="1"/>
  <c r="Z23" i="2" s="1"/>
  <c r="O28" i="2"/>
  <c r="N29" i="2"/>
  <c r="S14" i="2"/>
  <c r="W11" i="2" l="1"/>
  <c r="T15" i="2"/>
  <c r="S18" i="2"/>
  <c r="R20" i="2"/>
  <c r="X12" i="2"/>
  <c r="X16" i="2" s="1"/>
  <c r="P28" i="2"/>
  <c r="Q28" i="2" s="1"/>
  <c r="R28" i="2" s="1"/>
  <c r="S28" i="2" s="1"/>
  <c r="T28" i="2" s="1"/>
  <c r="U28" i="2" s="1"/>
  <c r="V28" i="2" s="1"/>
  <c r="W28" i="2" s="1"/>
  <c r="X28" i="2" s="1"/>
  <c r="Y28" i="2" s="1"/>
  <c r="Z28" i="2" s="1"/>
  <c r="O29" i="2"/>
  <c r="G33" i="2" s="1"/>
  <c r="T14" i="2"/>
  <c r="X11" i="2" l="1"/>
  <c r="U15" i="2"/>
  <c r="T18" i="2"/>
  <c r="S20" i="2"/>
  <c r="Y12" i="2"/>
  <c r="Y16" i="2" s="1"/>
  <c r="U14" i="2"/>
  <c r="Y11" i="2" l="1"/>
  <c r="Z11" i="2" s="1"/>
  <c r="V15" i="2"/>
  <c r="U18" i="2"/>
  <c r="U20" i="2" s="1"/>
  <c r="T20" i="2"/>
  <c r="V14" i="2"/>
  <c r="W15" i="2" l="1"/>
  <c r="V18" i="2"/>
  <c r="W14" i="2"/>
  <c r="X15" i="2" l="1"/>
  <c r="W18" i="2"/>
  <c r="V20" i="2"/>
  <c r="X14" i="2"/>
  <c r="Y15" i="2" l="1"/>
  <c r="Z15" i="2" s="1"/>
  <c r="X18" i="2"/>
  <c r="X20" i="2" s="1"/>
  <c r="W20" i="2"/>
  <c r="Y14" i="2"/>
  <c r="Z14" i="2"/>
  <c r="P22" i="2"/>
  <c r="Q22" i="2" s="1"/>
  <c r="R22" i="2" s="1"/>
  <c r="S22" i="2" s="1"/>
  <c r="T22" i="2" s="1"/>
  <c r="U22" i="2" s="1"/>
  <c r="V22" i="2" s="1"/>
  <c r="W22" i="2" s="1"/>
  <c r="X22" i="2" s="1"/>
  <c r="Y22" i="2" s="1"/>
  <c r="Z18" i="2" l="1"/>
  <c r="Y18" i="2"/>
  <c r="P21" i="2"/>
  <c r="Y20" i="2" l="1"/>
  <c r="Z20" i="2"/>
  <c r="P25" i="2"/>
  <c r="P29" i="2" s="1"/>
  <c r="Q21" i="2"/>
  <c r="R21" i="2" l="1"/>
  <c r="Q25" i="2"/>
  <c r="Q29" i="2" s="1"/>
  <c r="R25" i="2" l="1"/>
  <c r="R29" i="2" s="1"/>
  <c r="S21" i="2"/>
  <c r="S25" i="2" l="1"/>
  <c r="S29" i="2" s="1"/>
  <c r="T21" i="2"/>
  <c r="U21" i="2" l="1"/>
  <c r="T25" i="2"/>
  <c r="T29" i="2" s="1"/>
  <c r="U25" i="2" l="1"/>
  <c r="U29" i="2" s="1"/>
  <c r="V21" i="2"/>
  <c r="W21" i="2" l="1"/>
  <c r="V25" i="2"/>
  <c r="V29" i="2" s="1"/>
  <c r="X21" i="2" l="1"/>
  <c r="W25" i="2"/>
  <c r="W29" i="2" s="1"/>
  <c r="X25" i="2" l="1"/>
  <c r="X29" i="2" s="1"/>
  <c r="Y21" i="2"/>
  <c r="Z21" i="2" l="1"/>
  <c r="Z25" i="2" s="1"/>
  <c r="Y25" i="2"/>
  <c r="Y29" i="2" s="1"/>
  <c r="G34" i="2" s="1"/>
  <c r="Z29" i="2" l="1"/>
  <c r="G35" i="2" s="1"/>
  <c r="G36" i="2" s="1"/>
  <c r="G37" i="2" s="1"/>
</calcChain>
</file>

<file path=xl/sharedStrings.xml><?xml version="1.0" encoding="utf-8"?>
<sst xmlns="http://schemas.openxmlformats.org/spreadsheetml/2006/main" count="86" uniqueCount="69">
  <si>
    <t>Terminal</t>
  </si>
  <si>
    <t>Current</t>
  </si>
  <si>
    <t>Transition Period</t>
  </si>
  <si>
    <t>High-Growth Period</t>
  </si>
  <si>
    <t>FCFE</t>
  </si>
  <si>
    <t>Riskfree Rate</t>
  </si>
  <si>
    <t>ERP</t>
  </si>
  <si>
    <t>Cost of Equity</t>
  </si>
  <si>
    <t>Stable Period</t>
  </si>
  <si>
    <t>Beta</t>
  </si>
  <si>
    <t>Levered Beta</t>
  </si>
  <si>
    <t>Regression: Max, Monthly</t>
  </si>
  <si>
    <t>Tax Rate</t>
  </si>
  <si>
    <t>PV</t>
  </si>
  <si>
    <t>Growth</t>
  </si>
  <si>
    <t>High Growth</t>
  </si>
  <si>
    <t>Shares</t>
  </si>
  <si>
    <t>RSUs</t>
  </si>
  <si>
    <t>Common</t>
  </si>
  <si>
    <t>Total</t>
  </si>
  <si>
    <t>Earnings</t>
  </si>
  <si>
    <t>Chg. Working Capitial (Equity)</t>
  </si>
  <si>
    <t>Stock Options Outstanding Effect</t>
  </si>
  <si>
    <t>Founder Awards</t>
  </si>
  <si>
    <t>Depreciation</t>
  </si>
  <si>
    <t>Working Capital</t>
  </si>
  <si>
    <t>Change Working Capital</t>
  </si>
  <si>
    <t>Net Income</t>
  </si>
  <si>
    <t>Effective Tax Rate</t>
  </si>
  <si>
    <t>BV Debt Current</t>
  </si>
  <si>
    <t>BV Equity Current</t>
  </si>
  <si>
    <t>Revenues</t>
  </si>
  <si>
    <t>EBIT Margin</t>
  </si>
  <si>
    <t>EBIT</t>
  </si>
  <si>
    <t>Interest</t>
  </si>
  <si>
    <t>Taxes</t>
  </si>
  <si>
    <t>High Growth Period</t>
  </si>
  <si>
    <t>EBIT Adj.</t>
  </si>
  <si>
    <t>Bottom-Up Beta</t>
  </si>
  <si>
    <t>CapEx</t>
  </si>
  <si>
    <t>Current Financials</t>
  </si>
  <si>
    <t>Debt / DE</t>
  </si>
  <si>
    <t>Period Length</t>
  </si>
  <si>
    <t>Cumulated Discount</t>
  </si>
  <si>
    <t>Final</t>
  </si>
  <si>
    <t>High-Growth PV</t>
  </si>
  <si>
    <t>Transition PV</t>
  </si>
  <si>
    <t>Terminal PV</t>
  </si>
  <si>
    <t>Total Value</t>
  </si>
  <si>
    <t>Stock Value</t>
  </si>
  <si>
    <t>Debt Mix</t>
  </si>
  <si>
    <t>BV Debt</t>
  </si>
  <si>
    <t>Debt Interest</t>
  </si>
  <si>
    <t>April 11 2024</t>
  </si>
  <si>
    <t xml:space="preserve">   Duolingo (DUOL) FCFE 3 Stage Valuation</t>
  </si>
  <si>
    <t>DCF Valuation</t>
  </si>
  <si>
    <t xml:space="preserve">   Curry Invest</t>
  </si>
  <si>
    <t>Marketing &amp; Sales Capitialization</t>
  </si>
  <si>
    <t xml:space="preserve">   Supporting Figures</t>
  </si>
  <si>
    <t>R&amp;D Capitialization</t>
  </si>
  <si>
    <t>Year</t>
  </si>
  <si>
    <t>Unusual Items</t>
  </si>
  <si>
    <t>Net Capex / Revenue Ratio</t>
  </si>
  <si>
    <t>WC / Revenue Ratio</t>
  </si>
  <si>
    <t>Cash Flow</t>
  </si>
  <si>
    <t>Change WC</t>
  </si>
  <si>
    <t>Net CapEx / Revenues</t>
  </si>
  <si>
    <t>Non-Cash WC / Revenues</t>
  </si>
  <si>
    <t>Net CapEx (Equity)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</si>
</sst>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7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7"/>
      <color rgb="FFCE9178"/>
      <name val="Consolas"/>
      <family val="3"/>
    </font>
    <font>
      <b/>
      <sz val="48"/>
      <color theme="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E055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09193D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37" fontId="3" fillId="0" borderId="0"/>
  </cellStyleXfs>
  <cellXfs count="47">
    <xf numFmtId="0" fontId="0" fillId="0" borderId="0" xfId="0"/>
    <xf numFmtId="0" fontId="0" fillId="0" borderId="1" xfId="0" applyBorder="1"/>
    <xf numFmtId="0" fontId="2" fillId="0" borderId="1" xfId="0" applyFont="1" applyBorder="1"/>
    <xf numFmtId="10" fontId="2" fillId="0" borderId="0" xfId="0" applyNumberFormat="1" applyFont="1"/>
    <xf numFmtId="10" fontId="0" fillId="0" borderId="0" xfId="0" applyNumberFormat="1"/>
    <xf numFmtId="9" fontId="0" fillId="0" borderId="0" xfId="0" applyNumberFormat="1"/>
    <xf numFmtId="10" fontId="0" fillId="0" borderId="0" xfId="1" applyNumberFormat="1" applyFont="1"/>
    <xf numFmtId="37" fontId="3" fillId="0" borderId="0" xfId="2"/>
    <xf numFmtId="37" fontId="2" fillId="0" borderId="0" xfId="2" applyFont="1"/>
    <xf numFmtId="37" fontId="3" fillId="0" borderId="1" xfId="2" applyBorder="1"/>
    <xf numFmtId="37" fontId="2" fillId="0" borderId="1" xfId="2" applyFont="1" applyBorder="1"/>
    <xf numFmtId="0" fontId="1" fillId="0" borderId="1" xfId="0" applyFont="1" applyBorder="1"/>
    <xf numFmtId="37" fontId="0" fillId="0" borderId="0" xfId="0" applyNumberFormat="1"/>
    <xf numFmtId="10" fontId="1" fillId="0" borderId="1" xfId="1" applyNumberFormat="1" applyFont="1" applyBorder="1"/>
    <xf numFmtId="9" fontId="0" fillId="2" borderId="0" xfId="0" applyNumberFormat="1" applyFill="1"/>
    <xf numFmtId="0" fontId="0" fillId="2" borderId="0" xfId="0" applyFill="1"/>
    <xf numFmtId="10" fontId="0" fillId="2" borderId="0" xfId="0" applyNumberFormat="1" applyFill="1"/>
    <xf numFmtId="0" fontId="1" fillId="0" borderId="0" xfId="0" applyFont="1"/>
    <xf numFmtId="0" fontId="4" fillId="0" borderId="0" xfId="0" applyFont="1"/>
    <xf numFmtId="10" fontId="4" fillId="0" borderId="0" xfId="0" applyNumberFormat="1" applyFont="1"/>
    <xf numFmtId="37" fontId="4" fillId="0" borderId="0" xfId="2" applyFont="1"/>
    <xf numFmtId="10" fontId="4" fillId="0" borderId="0" xfId="1" applyNumberFormat="1" applyFont="1"/>
    <xf numFmtId="9" fontId="4" fillId="0" borderId="0" xfId="0" applyNumberFormat="1" applyFont="1"/>
    <xf numFmtId="37" fontId="4" fillId="0" borderId="0" xfId="0" applyNumberFormat="1" applyFont="1"/>
    <xf numFmtId="0" fontId="5" fillId="0" borderId="0" xfId="0" applyFont="1"/>
    <xf numFmtId="0" fontId="6" fillId="0" borderId="0" xfId="0" applyFont="1"/>
    <xf numFmtId="10" fontId="5" fillId="0" borderId="0" xfId="0" applyNumberFormat="1" applyFont="1"/>
    <xf numFmtId="10" fontId="5" fillId="0" borderId="0" xfId="1" applyNumberFormat="1" applyFont="1"/>
    <xf numFmtId="0" fontId="0" fillId="3" borderId="0" xfId="0" applyFill="1"/>
    <xf numFmtId="10" fontId="2" fillId="0" borderId="1" xfId="0" applyNumberFormat="1" applyFont="1" applyBorder="1"/>
    <xf numFmtId="10" fontId="4" fillId="2" borderId="0" xfId="1" applyNumberFormat="1" applyFont="1" applyFill="1"/>
    <xf numFmtId="10" fontId="5" fillId="2" borderId="0" xfId="1" applyNumberFormat="1" applyFont="1" applyFill="1"/>
    <xf numFmtId="10" fontId="5" fillId="2" borderId="0" xfId="0" applyNumberFormat="1" applyFont="1" applyFill="1"/>
    <xf numFmtId="0" fontId="0" fillId="4" borderId="0" xfId="0" applyFill="1"/>
    <xf numFmtId="0" fontId="0" fillId="5" borderId="0" xfId="0" applyFill="1"/>
    <xf numFmtId="0" fontId="8" fillId="5" borderId="0" xfId="0" applyFont="1" applyFill="1" applyAlignment="1">
      <alignment vertical="center"/>
    </xf>
    <xf numFmtId="0" fontId="6" fillId="0" borderId="1" xfId="0" applyFont="1" applyBorder="1"/>
    <xf numFmtId="37" fontId="4" fillId="0" borderId="1" xfId="2" applyFont="1" applyBorder="1"/>
    <xf numFmtId="10" fontId="5" fillId="0" borderId="1" xfId="1" applyNumberFormat="1" applyFont="1" applyBorder="1"/>
    <xf numFmtId="10" fontId="5" fillId="2" borderId="1" xfId="1" applyNumberFormat="1" applyFont="1" applyFill="1" applyBorder="1"/>
    <xf numFmtId="10" fontId="5" fillId="2" borderId="1" xfId="0" applyNumberFormat="1" applyFont="1" applyFill="1" applyBorder="1"/>
    <xf numFmtId="0" fontId="5" fillId="0" borderId="1" xfId="0" applyFont="1" applyBorder="1"/>
    <xf numFmtId="0" fontId="0" fillId="6" borderId="0" xfId="0" applyFill="1"/>
    <xf numFmtId="0" fontId="7" fillId="6" borderId="0" xfId="0" applyFont="1" applyFill="1"/>
    <xf numFmtId="0" fontId="1" fillId="7" borderId="0" xfId="0" applyFont="1" applyFill="1"/>
    <xf numFmtId="2" fontId="1" fillId="7" borderId="0" xfId="0" applyNumberFormat="1" applyFont="1" applyFill="1"/>
    <xf numFmtId="0" fontId="9" fillId="4" borderId="0" xfId="0" applyFont="1" applyFill="1" applyAlignment="1">
      <alignment horizontal="left" vertical="center"/>
    </xf>
  </cellXfs>
  <cellStyles count="3">
    <cellStyle name="Account Basic" xfId="2" xr:uid="{08D7D3D4-4980-4DC9-800C-F68D4F37AC46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9193D"/>
      <color rgb="FF0E05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353842</xdr:colOff>
      <xdr:row>0</xdr:row>
      <xdr:rowOff>257173</xdr:rowOff>
    </xdr:from>
    <xdr:to>
      <xdr:col>3</xdr:col>
      <xdr:colOff>368300</xdr:colOff>
      <xdr:row>3</xdr:row>
      <xdr:rowOff>485673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2CF909-0706-CC44-B90C-0549B3F09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7" y="257173"/>
          <a:ext cx="1503533" cy="149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1343025</xdr:colOff>
      <xdr:row>1</xdr:row>
      <xdr:rowOff>114300</xdr:rowOff>
    </xdr:from>
    <xdr:to>
      <xdr:col>6</xdr:col>
      <xdr:colOff>336549</xdr:colOff>
      <xdr:row>3</xdr:row>
      <xdr:rowOff>163080</xdr:rowOff>
    </xdr:to>
    <xdr:pic>
      <xdr:nvPicPr>
        <xdr:cNvPr id="5" name="Picture 4" descr="Duolingo Logo, symbol, meaning, history, PNG, brand">
          <a:extLst>
            <a:ext uri="{FF2B5EF4-FFF2-40B4-BE49-F238E27FC236}">
              <a16:creationId xmlns:a16="http://schemas.microsoft.com/office/drawing/2014/main" id="{C306128C-994E-47B3-B62E-3615F4CBD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295275"/>
          <a:ext cx="1022349" cy="563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7</xdr:row>
      <xdr:rowOff>101600</xdr:rowOff>
    </xdr:from>
    <xdr:to>
      <xdr:col>12</xdr:col>
      <xdr:colOff>495388</xdr:colOff>
      <xdr:row>17</xdr:row>
      <xdr:rowOff>28664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951C84B-31CC-E963-1483-ABA8C965F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0" y="1597025"/>
          <a:ext cx="1714588" cy="1736814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21</xdr:row>
      <xdr:rowOff>37448</xdr:rowOff>
    </xdr:from>
    <xdr:to>
      <xdr:col>8</xdr:col>
      <xdr:colOff>359015</xdr:colOff>
      <xdr:row>28</xdr:row>
      <xdr:rowOff>69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48E4FB9-58F3-EDBA-908F-0E0C3F68B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" y="4066523"/>
          <a:ext cx="4296015" cy="1226271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28</xdr:row>
      <xdr:rowOff>82550</xdr:rowOff>
    </xdr:from>
    <xdr:to>
      <xdr:col>6</xdr:col>
      <xdr:colOff>578019</xdr:colOff>
      <xdr:row>33</xdr:row>
      <xdr:rowOff>158800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DE46D7B-812A-3326-4D92-3251538C0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0" y="5378450"/>
          <a:ext cx="3295819" cy="98112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13</xdr:row>
      <xdr:rowOff>53975</xdr:rowOff>
    </xdr:from>
    <xdr:to>
      <xdr:col>7</xdr:col>
      <xdr:colOff>231959</xdr:colOff>
      <xdr:row>19</xdr:row>
      <xdr:rowOff>44505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3D72EA3-0F31-897F-4CEC-EE013A77D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6225" y="2635250"/>
          <a:ext cx="3587934" cy="1079555"/>
        </a:xfrm>
        <a:prstGeom prst="rect">
          <a:avLst/>
        </a:prstGeom>
      </xdr:spPr>
    </xdr:pic>
    <xdr:clientData/>
  </xdr:twoCellAnchor>
  <xdr:twoCellAnchor editAs="oneCell">
    <xdr:from>
      <xdr:col>0</xdr:col>
      <xdr:colOff>330200</xdr:colOff>
      <xdr:row>6</xdr:row>
      <xdr:rowOff>76200</xdr:rowOff>
    </xdr:from>
    <xdr:to>
      <xdr:col>9</xdr:col>
      <xdr:colOff>184392</xdr:colOff>
      <xdr:row>13</xdr:row>
      <xdr:rowOff>111192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EE977B1-BF45-468F-D5E3-AFBAA2C1C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0200" y="1390650"/>
          <a:ext cx="4708767" cy="1301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371BB-5FB6-4ED8-ACE0-66E052CBFD0C}">
  <sheetPr>
    <tabColor theme="8" tint="0.39997558519241921"/>
  </sheetPr>
  <dimension ref="A1:M24"/>
  <sheetViews>
    <sheetView showGridLines="0" workbookViewId="0">
      <selection activeCell="I22" sqref="I22"/>
    </sheetView>
  </sheetViews>
  <sheetFormatPr defaultRowHeight="14.5" x14ac:dyDescent="0.35"/>
  <cols>
    <col min="1" max="1" width="5.6328125" customWidth="1"/>
    <col min="2" max="4" width="10.6328125" style="28" customWidth="1"/>
    <col min="5" max="16384" width="8.7265625" style="34"/>
  </cols>
  <sheetData>
    <row r="1" spans="2:13" customFormat="1" ht="20" customHeight="1" x14ac:dyDescent="0.35">
      <c r="B1" s="28"/>
      <c r="C1" s="28"/>
      <c r="D1" s="28"/>
    </row>
    <row r="2" spans="2:13" s="33" customFormat="1" ht="40" customHeight="1" x14ac:dyDescent="0.35">
      <c r="B2" s="28"/>
      <c r="C2" s="28"/>
      <c r="D2" s="28"/>
      <c r="E2" s="46" t="s">
        <v>56</v>
      </c>
      <c r="F2" s="46"/>
      <c r="G2" s="46"/>
      <c r="H2" s="46"/>
      <c r="I2" s="46"/>
      <c r="J2" s="46"/>
      <c r="K2" s="46"/>
      <c r="L2" s="46"/>
      <c r="M2" s="46"/>
    </row>
    <row r="3" spans="2:13" s="33" customFormat="1" ht="40" customHeight="1" x14ac:dyDescent="0.35">
      <c r="B3" s="28"/>
      <c r="C3" s="28"/>
      <c r="D3" s="28"/>
      <c r="E3" s="46"/>
      <c r="F3" s="46"/>
      <c r="G3" s="46"/>
      <c r="H3" s="46"/>
      <c r="I3" s="46"/>
      <c r="J3" s="46"/>
      <c r="K3" s="46"/>
      <c r="L3" s="46"/>
      <c r="M3" s="46"/>
    </row>
    <row r="4" spans="2:13" s="33" customFormat="1" ht="40" customHeight="1" x14ac:dyDescent="0.35">
      <c r="B4" s="28"/>
      <c r="C4" s="28"/>
      <c r="D4" s="28"/>
      <c r="E4" s="46"/>
      <c r="F4" s="46"/>
      <c r="G4" s="46"/>
      <c r="H4" s="46"/>
      <c r="I4" s="46"/>
      <c r="J4" s="46"/>
      <c r="K4" s="46"/>
      <c r="L4" s="46"/>
      <c r="M4" s="46"/>
    </row>
    <row r="24" spans="9:9" x14ac:dyDescent="0.35">
      <c r="I24" s="35"/>
    </row>
  </sheetData>
  <mergeCells count="1">
    <mergeCell ref="E2:M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5F132-65D4-4A8D-BBB2-74965D70DB42}">
  <sheetPr>
    <tabColor theme="7" tint="0.39997558519241921"/>
  </sheetPr>
  <dimension ref="B2:AA70"/>
  <sheetViews>
    <sheetView showGridLines="0" tabSelected="1" topLeftCell="A3" workbookViewId="0">
      <selection activeCell="X8" sqref="X8"/>
    </sheetView>
  </sheetViews>
  <sheetFormatPr defaultRowHeight="14.5" x14ac:dyDescent="0.35"/>
  <cols>
    <col min="1" max="1" width="5.1796875" customWidth="1"/>
    <col min="2" max="2" width="3.1796875" customWidth="1"/>
    <col min="3" max="3" width="26.26953125" bestFit="1" customWidth="1"/>
    <col min="4" max="4" width="8" bestFit="1" customWidth="1"/>
    <col min="5" max="5" width="5.1796875" customWidth="1"/>
    <col min="6" max="6" width="29.08984375" bestFit="1" customWidth="1"/>
    <col min="7" max="7" width="9.54296875" bestFit="1" customWidth="1"/>
    <col min="8" max="8" width="5.1796875" customWidth="1"/>
    <col min="9" max="9" width="19.90625" bestFit="1" customWidth="1"/>
    <col min="10" max="26" width="8.6328125" customWidth="1"/>
    <col min="27" max="27" width="5.1796875" customWidth="1"/>
  </cols>
  <sheetData>
    <row r="2" spans="2:27" ht="20" customHeight="1" x14ac:dyDescent="0.35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2:27" ht="20" customHeight="1" x14ac:dyDescent="0.55000000000000004">
      <c r="B3" s="43" t="s">
        <v>54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2:27" ht="20" customHeight="1" x14ac:dyDescent="0.3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6" spans="2:27" x14ac:dyDescent="0.35">
      <c r="C6" s="17" t="s">
        <v>53</v>
      </c>
    </row>
    <row r="8" spans="2:27" x14ac:dyDescent="0.35">
      <c r="C8" s="11" t="s">
        <v>42</v>
      </c>
      <c r="D8" s="1"/>
      <c r="F8" s="11" t="s">
        <v>50</v>
      </c>
      <c r="G8" s="11"/>
      <c r="I8" s="17" t="s">
        <v>55</v>
      </c>
    </row>
    <row r="9" spans="2:27" x14ac:dyDescent="0.35">
      <c r="C9" t="s">
        <v>36</v>
      </c>
      <c r="D9" s="15">
        <v>5</v>
      </c>
      <c r="F9" t="s">
        <v>29</v>
      </c>
      <c r="G9" s="8">
        <v>21094</v>
      </c>
      <c r="I9" s="18"/>
      <c r="J9" s="25" t="s">
        <v>1</v>
      </c>
      <c r="K9" s="25" t="s">
        <v>3</v>
      </c>
      <c r="L9" s="25"/>
      <c r="M9" s="25"/>
      <c r="N9" s="25"/>
      <c r="O9" s="25"/>
      <c r="P9" s="25" t="s">
        <v>2</v>
      </c>
      <c r="Q9" s="18"/>
      <c r="R9" s="19"/>
      <c r="S9" s="18"/>
      <c r="T9" s="18"/>
      <c r="U9" s="18"/>
      <c r="V9" s="18"/>
      <c r="W9" s="18"/>
      <c r="X9" s="18"/>
      <c r="Y9" s="18"/>
      <c r="Z9" s="18"/>
    </row>
    <row r="10" spans="2:27" x14ac:dyDescent="0.35">
      <c r="C10" t="s">
        <v>2</v>
      </c>
      <c r="D10" s="15">
        <v>10</v>
      </c>
      <c r="F10" t="s">
        <v>30</v>
      </c>
      <c r="G10" s="8">
        <v>655501</v>
      </c>
      <c r="I10" s="36" t="s">
        <v>60</v>
      </c>
      <c r="J10" s="41">
        <v>0</v>
      </c>
      <c r="K10" s="41">
        <v>1</v>
      </c>
      <c r="L10" s="41">
        <v>2</v>
      </c>
      <c r="M10" s="41">
        <v>3</v>
      </c>
      <c r="N10" s="41">
        <v>4</v>
      </c>
      <c r="O10" s="41">
        <v>5</v>
      </c>
      <c r="P10" s="41">
        <v>1</v>
      </c>
      <c r="Q10" s="41">
        <v>2</v>
      </c>
      <c r="R10" s="41">
        <v>3</v>
      </c>
      <c r="S10" s="41">
        <v>4</v>
      </c>
      <c r="T10" s="41">
        <v>5</v>
      </c>
      <c r="U10" s="41">
        <v>6</v>
      </c>
      <c r="V10" s="41">
        <v>7</v>
      </c>
      <c r="W10" s="41">
        <v>8</v>
      </c>
      <c r="X10" s="41">
        <v>9</v>
      </c>
      <c r="Y10" s="41">
        <v>10</v>
      </c>
      <c r="Z10" s="36" t="s">
        <v>0</v>
      </c>
    </row>
    <row r="11" spans="2:27" x14ac:dyDescent="0.35">
      <c r="F11" s="1" t="s">
        <v>28</v>
      </c>
      <c r="G11" s="29">
        <v>9.6000000000000002E-2</v>
      </c>
      <c r="I11" s="25" t="s">
        <v>31</v>
      </c>
      <c r="J11" s="20">
        <v>531109</v>
      </c>
      <c r="K11" s="20">
        <f>J11*(1+K12)</f>
        <v>690441.70000000007</v>
      </c>
      <c r="L11" s="20">
        <f t="shared" ref="L11:Z11" si="0">K11*(1+L12)</f>
        <v>897574.21000000008</v>
      </c>
      <c r="M11" s="20">
        <f t="shared" si="0"/>
        <v>1166846.4730000002</v>
      </c>
      <c r="N11" s="20">
        <f t="shared" si="0"/>
        <v>1516900.4149000004</v>
      </c>
      <c r="O11" s="20">
        <f t="shared" si="0"/>
        <v>1971970.5393700006</v>
      </c>
      <c r="P11" s="20">
        <f t="shared" si="0"/>
        <v>2462252.0622578221</v>
      </c>
      <c r="Q11" s="20">
        <f t="shared" si="0"/>
        <v>2969594.817497971</v>
      </c>
      <c r="R11" s="20">
        <f t="shared" si="0"/>
        <v>3476690.6006688001</v>
      </c>
      <c r="S11" s="20">
        <f t="shared" si="0"/>
        <v>3968710.5310801528</v>
      </c>
      <c r="T11" s="20">
        <f t="shared" si="0"/>
        <v>4434178.6330751907</v>
      </c>
      <c r="U11" s="20">
        <f t="shared" si="0"/>
        <v>4865178.8961024219</v>
      </c>
      <c r="V11" s="20">
        <f t="shared" si="0"/>
        <v>5257089.4995192662</v>
      </c>
      <c r="W11" s="20">
        <f t="shared" si="0"/>
        <v>5608049.3364206385</v>
      </c>
      <c r="X11" s="20">
        <f t="shared" si="0"/>
        <v>5918325.0075994339</v>
      </c>
      <c r="Y11" s="20">
        <f t="shared" si="0"/>
        <v>6189692.9603844583</v>
      </c>
      <c r="Z11" s="20">
        <f t="shared" si="0"/>
        <v>6424901.2928790683</v>
      </c>
    </row>
    <row r="12" spans="2:27" x14ac:dyDescent="0.35">
      <c r="C12" s="11" t="s">
        <v>15</v>
      </c>
      <c r="D12" s="1"/>
      <c r="F12" t="s">
        <v>41</v>
      </c>
      <c r="G12" s="6">
        <f>G9/(G9+G10)</f>
        <v>3.1176700980645733E-2</v>
      </c>
      <c r="I12" s="24" t="s">
        <v>14</v>
      </c>
      <c r="J12" s="26"/>
      <c r="K12" s="26">
        <f>$D$13</f>
        <v>0.3</v>
      </c>
      <c r="L12" s="26">
        <f>$D$13</f>
        <v>0.3</v>
      </c>
      <c r="M12" s="26">
        <f>$D$13</f>
        <v>0.3</v>
      </c>
      <c r="N12" s="26">
        <f>$D$13</f>
        <v>0.3</v>
      </c>
      <c r="O12" s="26">
        <f>$D$13</f>
        <v>0.3</v>
      </c>
      <c r="P12" s="26">
        <f t="shared" ref="P12:Y12" si="1">($Z12/$O12)^(1/($D$10+1))*O12</f>
        <v>0.24862517623841121</v>
      </c>
      <c r="Q12" s="26">
        <f t="shared" si="1"/>
        <v>0.20604826086527012</v>
      </c>
      <c r="R12" s="26">
        <f t="shared" si="1"/>
        <v>0.17076261723748637</v>
      </c>
      <c r="S12" s="26">
        <f t="shared" si="1"/>
        <v>0.14151961935200802</v>
      </c>
      <c r="T12" s="26">
        <f t="shared" si="1"/>
        <v>0.11728446767528622</v>
      </c>
      <c r="U12" s="26">
        <f t="shared" si="1"/>
        <v>9.719957148598761E-2</v>
      </c>
      <c r="V12" s="26">
        <f t="shared" si="1"/>
        <v>8.0554201970005734E-2</v>
      </c>
      <c r="W12" s="26">
        <f t="shared" si="1"/>
        <v>6.6759342205124167E-2</v>
      </c>
      <c r="X12" s="26">
        <f t="shared" si="1"/>
        <v>5.5326844071031334E-2</v>
      </c>
      <c r="Y12" s="26">
        <f t="shared" si="1"/>
        <v>4.5852154526250875E-2</v>
      </c>
      <c r="Z12" s="26">
        <f>D22</f>
        <v>3.7999999999999999E-2</v>
      </c>
    </row>
    <row r="13" spans="2:27" x14ac:dyDescent="0.35">
      <c r="C13" t="s">
        <v>14</v>
      </c>
      <c r="D13" s="5">
        <v>0.3</v>
      </c>
      <c r="I13" s="25" t="s">
        <v>32</v>
      </c>
      <c r="J13" s="21">
        <f>J14/J11</f>
        <v>-2.4964743583708805E-2</v>
      </c>
      <c r="K13" s="19">
        <f>$D$15</f>
        <v>0.1</v>
      </c>
      <c r="L13" s="19">
        <f t="shared" ref="L13:O13" si="2">$D$15</f>
        <v>0.1</v>
      </c>
      <c r="M13" s="19">
        <f t="shared" si="2"/>
        <v>0.1</v>
      </c>
      <c r="N13" s="19">
        <f t="shared" si="2"/>
        <v>0.1</v>
      </c>
      <c r="O13" s="19">
        <f t="shared" si="2"/>
        <v>0.1</v>
      </c>
      <c r="P13" s="19">
        <f t="shared" ref="P13:Y13" si="3">Q13/($Z13/$O13)^(1/($D$10+1))</f>
        <v>0.10937582577378969</v>
      </c>
      <c r="Q13" s="19">
        <f t="shared" si="3"/>
        <v>0.11963071263698406</v>
      </c>
      <c r="R13" s="19">
        <f t="shared" si="3"/>
        <v>0.13084707982577079</v>
      </c>
      <c r="S13" s="19">
        <f t="shared" si="3"/>
        <v>0.1431150740603267</v>
      </c>
      <c r="T13" s="19">
        <f t="shared" si="3"/>
        <v>0.15653329406025313</v>
      </c>
      <c r="U13" s="19">
        <f t="shared" si="3"/>
        <v>0.17120958298931646</v>
      </c>
      <c r="V13" s="19">
        <f t="shared" si="3"/>
        <v>0.18726189519842679</v>
      </c>
      <c r="W13" s="19">
        <f t="shared" si="3"/>
        <v>0.20481924423292808</v>
      </c>
      <c r="X13" s="19">
        <f t="shared" si="3"/>
        <v>0.22402273972340037</v>
      </c>
      <c r="Y13" s="19">
        <f t="shared" si="3"/>
        <v>0.24502672149353691</v>
      </c>
      <c r="Z13" s="19">
        <f>D24</f>
        <v>0.26800000000000002</v>
      </c>
    </row>
    <row r="14" spans="2:27" x14ac:dyDescent="0.35">
      <c r="C14" t="s">
        <v>7</v>
      </c>
      <c r="D14" s="4">
        <f>D34</f>
        <v>0.10200500000000001</v>
      </c>
      <c r="F14" s="11" t="s">
        <v>40</v>
      </c>
      <c r="G14" s="1"/>
      <c r="I14" s="36" t="s">
        <v>33</v>
      </c>
      <c r="J14" s="37">
        <f>G30</f>
        <v>-13259</v>
      </c>
      <c r="K14" s="37">
        <f>K11*K13</f>
        <v>69044.170000000013</v>
      </c>
      <c r="L14" s="37">
        <f t="shared" ref="L14:Z14" si="4">L11*L13</f>
        <v>89757.421000000017</v>
      </c>
      <c r="M14" s="37">
        <f t="shared" si="4"/>
        <v>116684.64730000003</v>
      </c>
      <c r="N14" s="37">
        <f t="shared" si="4"/>
        <v>151690.04149000006</v>
      </c>
      <c r="O14" s="37">
        <f t="shared" si="4"/>
        <v>197197.05393700008</v>
      </c>
      <c r="P14" s="37">
        <f t="shared" si="4"/>
        <v>269310.85257266596</v>
      </c>
      <c r="Q14" s="37">
        <f t="shared" si="4"/>
        <v>355254.7442603769</v>
      </c>
      <c r="R14" s="37">
        <f t="shared" si="4"/>
        <v>454914.81255521748</v>
      </c>
      <c r="S14" s="37">
        <f t="shared" si="4"/>
        <v>567982.30157953454</v>
      </c>
      <c r="T14" s="37">
        <f t="shared" si="4"/>
        <v>694096.58788685012</v>
      </c>
      <c r="U14" s="37">
        <f t="shared" si="4"/>
        <v>832965.24997011863</v>
      </c>
      <c r="V14" s="37">
        <f t="shared" si="4"/>
        <v>984452.54290772672</v>
      </c>
      <c r="W14" s="37">
        <f t="shared" si="4"/>
        <v>1148636.4267066489</v>
      </c>
      <c r="X14" s="37">
        <f t="shared" si="4"/>
        <v>1325839.3827759395</v>
      </c>
      <c r="Y14" s="37">
        <f t="shared" si="4"/>
        <v>1516640.1731346287</v>
      </c>
      <c r="Z14" s="37">
        <f t="shared" si="4"/>
        <v>1721873.5464915903</v>
      </c>
    </row>
    <row r="15" spans="2:27" x14ac:dyDescent="0.35">
      <c r="C15" t="s">
        <v>32</v>
      </c>
      <c r="D15" s="14">
        <v>0.1</v>
      </c>
      <c r="F15" t="s">
        <v>20</v>
      </c>
      <c r="G15" s="8">
        <v>16067</v>
      </c>
      <c r="I15" s="25" t="s">
        <v>51</v>
      </c>
      <c r="J15" s="20">
        <f>G9</f>
        <v>21094</v>
      </c>
      <c r="K15" s="20">
        <f>J15*(1+K16)</f>
        <v>27422.2</v>
      </c>
      <c r="L15" s="20">
        <f t="shared" ref="L15:Z15" si="5">K15*(1+L16)</f>
        <v>35648.86</v>
      </c>
      <c r="M15" s="20">
        <f t="shared" si="5"/>
        <v>46343.518000000004</v>
      </c>
      <c r="N15" s="20">
        <f t="shared" si="5"/>
        <v>60246.573400000008</v>
      </c>
      <c r="O15" s="20">
        <f t="shared" si="5"/>
        <v>78320.545420000009</v>
      </c>
      <c r="P15" s="20">
        <f t="shared" si="5"/>
        <v>97793.004828136007</v>
      </c>
      <c r="Q15" s="20">
        <f t="shared" si="5"/>
        <v>117943.08339776238</v>
      </c>
      <c r="R15" s="20">
        <f t="shared" si="5"/>
        <v>138083.3530038234</v>
      </c>
      <c r="S15" s="20">
        <f t="shared" si="5"/>
        <v>157624.85655977344</v>
      </c>
      <c r="T15" s="20">
        <f t="shared" si="5"/>
        <v>176111.8039537798</v>
      </c>
      <c r="U15" s="20">
        <f t="shared" si="5"/>
        <v>193229.79583171147</v>
      </c>
      <c r="V15" s="20">
        <f t="shared" si="5"/>
        <v>208795.26783176215</v>
      </c>
      <c r="W15" s="20">
        <f t="shared" si="5"/>
        <v>222734.30256775333</v>
      </c>
      <c r="X15" s="20">
        <f t="shared" si="5"/>
        <v>235057.48859518932</v>
      </c>
      <c r="Y15" s="20">
        <f t="shared" si="5"/>
        <v>245835.3808848084</v>
      </c>
      <c r="Z15" s="20">
        <f t="shared" si="5"/>
        <v>255177.12535843113</v>
      </c>
    </row>
    <row r="16" spans="2:27" x14ac:dyDescent="0.35">
      <c r="C16" t="s">
        <v>66</v>
      </c>
      <c r="D16" s="16">
        <v>0.02</v>
      </c>
      <c r="F16" t="s">
        <v>24</v>
      </c>
      <c r="G16" s="8">
        <v>7095</v>
      </c>
      <c r="I16" s="24" t="s">
        <v>14</v>
      </c>
      <c r="J16" s="27"/>
      <c r="K16" s="31">
        <f t="shared" ref="K16:Z16" si="6">K12</f>
        <v>0.3</v>
      </c>
      <c r="L16" s="31">
        <f t="shared" si="6"/>
        <v>0.3</v>
      </c>
      <c r="M16" s="31">
        <f t="shared" si="6"/>
        <v>0.3</v>
      </c>
      <c r="N16" s="31">
        <f t="shared" si="6"/>
        <v>0.3</v>
      </c>
      <c r="O16" s="31">
        <f t="shared" si="6"/>
        <v>0.3</v>
      </c>
      <c r="P16" s="31">
        <f t="shared" si="6"/>
        <v>0.24862517623841121</v>
      </c>
      <c r="Q16" s="31">
        <f t="shared" si="6"/>
        <v>0.20604826086527012</v>
      </c>
      <c r="R16" s="31">
        <f t="shared" si="6"/>
        <v>0.17076261723748637</v>
      </c>
      <c r="S16" s="31">
        <f t="shared" si="6"/>
        <v>0.14151961935200802</v>
      </c>
      <c r="T16" s="31">
        <f t="shared" si="6"/>
        <v>0.11728446767528622</v>
      </c>
      <c r="U16" s="31">
        <f t="shared" si="6"/>
        <v>9.719957148598761E-2</v>
      </c>
      <c r="V16" s="31">
        <f t="shared" si="6"/>
        <v>8.0554201970005734E-2</v>
      </c>
      <c r="W16" s="31">
        <f t="shared" si="6"/>
        <v>6.6759342205124167E-2</v>
      </c>
      <c r="X16" s="31">
        <f t="shared" si="6"/>
        <v>5.5326844071031334E-2</v>
      </c>
      <c r="Y16" s="31">
        <f t="shared" si="6"/>
        <v>4.5852154526250875E-2</v>
      </c>
      <c r="Z16" s="31">
        <f t="shared" si="6"/>
        <v>3.7999999999999999E-2</v>
      </c>
    </row>
    <row r="17" spans="3:26" x14ac:dyDescent="0.35">
      <c r="C17" t="s">
        <v>67</v>
      </c>
      <c r="D17" s="16">
        <v>0.09</v>
      </c>
      <c r="F17" t="s">
        <v>25</v>
      </c>
      <c r="G17" s="8">
        <v>620436</v>
      </c>
      <c r="I17" s="25" t="s">
        <v>52</v>
      </c>
      <c r="J17" s="30">
        <f t="shared" ref="J17:Z17" si="7">$D$31+0.0059</f>
        <v>5.185E-2</v>
      </c>
      <c r="K17" s="30">
        <f t="shared" si="7"/>
        <v>5.185E-2</v>
      </c>
      <c r="L17" s="30">
        <f t="shared" si="7"/>
        <v>5.185E-2</v>
      </c>
      <c r="M17" s="30">
        <f t="shared" si="7"/>
        <v>5.185E-2</v>
      </c>
      <c r="N17" s="30">
        <f t="shared" si="7"/>
        <v>5.185E-2</v>
      </c>
      <c r="O17" s="30">
        <f t="shared" si="7"/>
        <v>5.185E-2</v>
      </c>
      <c r="P17" s="30">
        <f t="shared" si="7"/>
        <v>5.185E-2</v>
      </c>
      <c r="Q17" s="30">
        <f t="shared" si="7"/>
        <v>5.185E-2</v>
      </c>
      <c r="R17" s="30">
        <f t="shared" si="7"/>
        <v>5.185E-2</v>
      </c>
      <c r="S17" s="30">
        <f t="shared" si="7"/>
        <v>5.185E-2</v>
      </c>
      <c r="T17" s="30">
        <f t="shared" si="7"/>
        <v>5.185E-2</v>
      </c>
      <c r="U17" s="30">
        <f t="shared" si="7"/>
        <v>5.185E-2</v>
      </c>
      <c r="V17" s="30">
        <f t="shared" si="7"/>
        <v>5.185E-2</v>
      </c>
      <c r="W17" s="30">
        <f t="shared" si="7"/>
        <v>5.185E-2</v>
      </c>
      <c r="X17" s="30">
        <f t="shared" si="7"/>
        <v>5.185E-2</v>
      </c>
      <c r="Y17" s="30">
        <f t="shared" si="7"/>
        <v>5.185E-2</v>
      </c>
      <c r="Z17" s="30">
        <f t="shared" si="7"/>
        <v>5.185E-2</v>
      </c>
    </row>
    <row r="18" spans="3:26" x14ac:dyDescent="0.35">
      <c r="F18" t="s">
        <v>26</v>
      </c>
      <c r="G18" s="8">
        <v>34898</v>
      </c>
      <c r="I18" s="36" t="s">
        <v>34</v>
      </c>
      <c r="J18" s="37">
        <v>31091</v>
      </c>
      <c r="K18" s="37">
        <f t="shared" ref="K18:Z18" si="8">-K15*K17</f>
        <v>-1421.8410699999999</v>
      </c>
      <c r="L18" s="37">
        <f t="shared" si="8"/>
        <v>-1848.3933910000001</v>
      </c>
      <c r="M18" s="37">
        <f t="shared" si="8"/>
        <v>-2402.9114083000004</v>
      </c>
      <c r="N18" s="37">
        <f t="shared" si="8"/>
        <v>-3123.7848307900003</v>
      </c>
      <c r="O18" s="37">
        <f t="shared" si="8"/>
        <v>-4060.9202800270004</v>
      </c>
      <c r="P18" s="37">
        <f t="shared" si="8"/>
        <v>-5070.567300338852</v>
      </c>
      <c r="Q18" s="37">
        <f t="shared" si="8"/>
        <v>-6115.3488741739793</v>
      </c>
      <c r="R18" s="37">
        <f t="shared" si="8"/>
        <v>-7159.6218532482435</v>
      </c>
      <c r="S18" s="37">
        <f t="shared" si="8"/>
        <v>-8172.8488126242528</v>
      </c>
      <c r="T18" s="37">
        <f t="shared" si="8"/>
        <v>-9131.3970350034833</v>
      </c>
      <c r="U18" s="37">
        <f t="shared" si="8"/>
        <v>-10018.964913874239</v>
      </c>
      <c r="V18" s="37">
        <f t="shared" si="8"/>
        <v>-10826.034637076868</v>
      </c>
      <c r="W18" s="37">
        <f t="shared" si="8"/>
        <v>-11548.77358813801</v>
      </c>
      <c r="X18" s="37">
        <f t="shared" si="8"/>
        <v>-12187.730783660567</v>
      </c>
      <c r="Y18" s="37">
        <f t="shared" si="8"/>
        <v>-12746.564498877317</v>
      </c>
      <c r="Z18" s="37">
        <f t="shared" si="8"/>
        <v>-13230.933949834654</v>
      </c>
    </row>
    <row r="19" spans="3:26" x14ac:dyDescent="0.35">
      <c r="C19" s="11" t="s">
        <v>8</v>
      </c>
      <c r="D19" s="1"/>
      <c r="I19" s="25" t="s">
        <v>35</v>
      </c>
      <c r="J19" s="19">
        <f t="shared" ref="J19:O19" si="9">$G$11</f>
        <v>9.6000000000000002E-2</v>
      </c>
      <c r="K19" s="19">
        <f t="shared" si="9"/>
        <v>9.6000000000000002E-2</v>
      </c>
      <c r="L19" s="19">
        <f t="shared" si="9"/>
        <v>9.6000000000000002E-2</v>
      </c>
      <c r="M19" s="19">
        <f t="shared" si="9"/>
        <v>9.6000000000000002E-2</v>
      </c>
      <c r="N19" s="19">
        <f t="shared" si="9"/>
        <v>9.6000000000000002E-2</v>
      </c>
      <c r="O19" s="19">
        <f t="shared" si="9"/>
        <v>9.6000000000000002E-2</v>
      </c>
      <c r="P19" s="19">
        <f t="shared" ref="P19:Y19" si="10">($Z19/$O19)^(1/($D$10+1))*O19</f>
        <v>0.10308028301842981</v>
      </c>
      <c r="Q19" s="19">
        <f t="shared" si="10"/>
        <v>0.11068275778291238</v>
      </c>
      <c r="R19" s="19">
        <f t="shared" si="10"/>
        <v>0.11884593747419711</v>
      </c>
      <c r="S19" s="19">
        <f t="shared" si="10"/>
        <v>0.12761117573365471</v>
      </c>
      <c r="T19" s="19">
        <f t="shared" si="10"/>
        <v>0.13702287615562198</v>
      </c>
      <c r="U19" s="19">
        <f t="shared" si="10"/>
        <v>0.1471287172304247</v>
      </c>
      <c r="V19" s="19">
        <f t="shared" si="10"/>
        <v>0.15797989387761155</v>
      </c>
      <c r="W19" s="19">
        <f t="shared" si="10"/>
        <v>0.1696313767929761</v>
      </c>
      <c r="X19" s="19">
        <f t="shared" si="10"/>
        <v>0.18214219092318629</v>
      </c>
      <c r="Y19" s="19">
        <f t="shared" si="10"/>
        <v>0.19557571447873875</v>
      </c>
      <c r="Z19" s="22">
        <f>D21</f>
        <v>0.21</v>
      </c>
    </row>
    <row r="20" spans="3:26" x14ac:dyDescent="0.35">
      <c r="C20" t="s">
        <v>9</v>
      </c>
      <c r="D20" s="15">
        <v>1.1100000000000001</v>
      </c>
      <c r="F20" s="11" t="s">
        <v>16</v>
      </c>
      <c r="G20" s="1"/>
      <c r="I20" s="36" t="s">
        <v>27</v>
      </c>
      <c r="J20" s="37">
        <f t="shared" ref="J20:Z20" si="11">(J14+J18)-J19*(J14+J18)</f>
        <v>16120.128000000001</v>
      </c>
      <c r="K20" s="37">
        <f t="shared" si="11"/>
        <v>61130.585352720016</v>
      </c>
      <c r="L20" s="37">
        <f t="shared" si="11"/>
        <v>79469.760958536004</v>
      </c>
      <c r="M20" s="37">
        <f t="shared" si="11"/>
        <v>103310.68924609682</v>
      </c>
      <c r="N20" s="37">
        <f t="shared" si="11"/>
        <v>134303.89601992589</v>
      </c>
      <c r="O20" s="37">
        <f t="shared" si="11"/>
        <v>174595.06482590365</v>
      </c>
      <c r="P20" s="37">
        <f t="shared" si="11"/>
        <v>237002.32188158497</v>
      </c>
      <c r="Q20" s="37">
        <f t="shared" si="11"/>
        <v>310495.68425419932</v>
      </c>
      <c r="R20" s="37">
        <f t="shared" si="11"/>
        <v>394541.3053040558</v>
      </c>
      <c r="S20" s="37">
        <f t="shared" si="11"/>
        <v>488371.51031251106</v>
      </c>
      <c r="T20" s="37">
        <f t="shared" si="11"/>
        <v>591109.29033484205</v>
      </c>
      <c r="U20" s="37">
        <f t="shared" si="11"/>
        <v>701867.25378637575</v>
      </c>
      <c r="V20" s="37">
        <f t="shared" si="11"/>
        <v>819813.09581762308</v>
      </c>
      <c r="W20" s="37">
        <f t="shared" si="11"/>
        <v>944201.90898572397</v>
      </c>
      <c r="X20" s="37">
        <f t="shared" si="11"/>
        <v>1074380.261988542</v>
      </c>
      <c r="Y20" s="37">
        <f t="shared" si="11"/>
        <v>1209768.5416268054</v>
      </c>
      <c r="Z20" s="37">
        <f t="shared" si="11"/>
        <v>1349827.6639079871</v>
      </c>
    </row>
    <row r="21" spans="3:26" x14ac:dyDescent="0.35">
      <c r="C21" t="s">
        <v>12</v>
      </c>
      <c r="D21" s="14">
        <v>0.21</v>
      </c>
      <c r="F21" t="s">
        <v>22</v>
      </c>
      <c r="G21" s="8">
        <v>2774</v>
      </c>
      <c r="I21" s="25" t="s">
        <v>68</v>
      </c>
      <c r="J21" s="23">
        <f>(D37-D38)*(1-G12)</f>
        <v>9577.787134105336</v>
      </c>
      <c r="K21" s="23">
        <f>J21*(1+K22)</f>
        <v>9769.3428767874429</v>
      </c>
      <c r="L21" s="23">
        <f t="shared" ref="L21:Z21" si="12">K21*(1+L22)</f>
        <v>9964.7297343231912</v>
      </c>
      <c r="M21" s="23">
        <f t="shared" si="12"/>
        <v>10164.024329009655</v>
      </c>
      <c r="N21" s="23">
        <f t="shared" si="12"/>
        <v>10367.304815589849</v>
      </c>
      <c r="O21" s="23">
        <f t="shared" si="12"/>
        <v>10574.650911901646</v>
      </c>
      <c r="P21" s="23">
        <f t="shared" si="12"/>
        <v>10816.386456280441</v>
      </c>
      <c r="Q21" s="23">
        <f t="shared" si="12"/>
        <v>11099.00532077955</v>
      </c>
      <c r="R21" s="23">
        <f t="shared" si="12"/>
        <v>11430.47780946135</v>
      </c>
      <c r="S21" s="23">
        <f t="shared" si="12"/>
        <v>11820.664357009324</v>
      </c>
      <c r="T21" s="23">
        <f t="shared" si="12"/>
        <v>12281.869637552316</v>
      </c>
      <c r="U21" s="23">
        <f t="shared" si="12"/>
        <v>12829.593101981338</v>
      </c>
      <c r="V21" s="23">
        <f t="shared" si="12"/>
        <v>13483.557677413399</v>
      </c>
      <c r="W21" s="23">
        <f t="shared" si="12"/>
        <v>14269.137492678434</v>
      </c>
      <c r="X21" s="23">
        <f t="shared" si="12"/>
        <v>15219.365921620512</v>
      </c>
      <c r="Y21" s="23">
        <f t="shared" si="12"/>
        <v>16377.800023296619</v>
      </c>
      <c r="Z21" s="23">
        <f t="shared" si="12"/>
        <v>17802.668625323426</v>
      </c>
    </row>
    <row r="22" spans="3:26" x14ac:dyDescent="0.35">
      <c r="C22" t="s">
        <v>14</v>
      </c>
      <c r="D22" s="16">
        <v>3.7999999999999999E-2</v>
      </c>
      <c r="F22" t="s">
        <v>17</v>
      </c>
      <c r="G22" s="8">
        <v>2027</v>
      </c>
      <c r="I22" s="24" t="s">
        <v>62</v>
      </c>
      <c r="J22" s="27">
        <f>J21/J11</f>
        <v>1.80335621013866E-2</v>
      </c>
      <c r="K22" s="31">
        <f>$D$16</f>
        <v>0.02</v>
      </c>
      <c r="L22" s="31">
        <f t="shared" ref="L22:O22" si="13">$D$16</f>
        <v>0.02</v>
      </c>
      <c r="M22" s="31">
        <f t="shared" si="13"/>
        <v>0.02</v>
      </c>
      <c r="N22" s="31">
        <f t="shared" si="13"/>
        <v>0.02</v>
      </c>
      <c r="O22" s="31">
        <f t="shared" si="13"/>
        <v>0.02</v>
      </c>
      <c r="P22" s="32">
        <f t="shared" ref="P22:Y22" si="14">($Z22/$O22)^(1/($D$10+1))*O22</f>
        <v>2.2859907754186542E-2</v>
      </c>
      <c r="Q22" s="32">
        <f t="shared" si="14"/>
        <v>2.61287691264959E-2</v>
      </c>
      <c r="R22" s="32">
        <f t="shared" si="14"/>
        <v>2.9865062598106677E-2</v>
      </c>
      <c r="S22" s="32">
        <f t="shared" si="14"/>
        <v>3.4135628803286265E-2</v>
      </c>
      <c r="T22" s="32">
        <f t="shared" si="14"/>
        <v>3.9016866278713855E-2</v>
      </c>
      <c r="U22" s="32">
        <f t="shared" si="14"/>
        <v>4.4596098199441513E-2</v>
      </c>
      <c r="V22" s="32">
        <f t="shared" si="14"/>
        <v>5.0973134551793878E-2</v>
      </c>
      <c r="W22" s="32">
        <f t="shared" si="14"/>
        <v>5.8262057689787337E-2</v>
      </c>
      <c r="X22" s="32">
        <f t="shared" si="14"/>
        <v>6.6593263217881657E-2</v>
      </c>
      <c r="Y22" s="32">
        <f t="shared" si="14"/>
        <v>7.6115792710551911E-2</v>
      </c>
      <c r="Z22" s="32">
        <f>D26</f>
        <v>8.6999999999999994E-2</v>
      </c>
    </row>
    <row r="23" spans="3:26" x14ac:dyDescent="0.35">
      <c r="C23" t="s">
        <v>7</v>
      </c>
      <c r="D23" s="16">
        <v>8.9800000000000005E-2</v>
      </c>
      <c r="F23" t="s">
        <v>23</v>
      </c>
      <c r="G23" s="8">
        <v>270</v>
      </c>
      <c r="I23" s="25" t="s">
        <v>21</v>
      </c>
      <c r="J23" s="23">
        <f>D39*(1-G12)</f>
        <v>53232.964987917439</v>
      </c>
      <c r="K23" s="23">
        <f>J23*(1+K24)</f>
        <v>58023.931836830016</v>
      </c>
      <c r="L23" s="23">
        <f t="shared" ref="L23:Z23" si="15">K23*(1+L24)</f>
        <v>63246.085702144723</v>
      </c>
      <c r="M23" s="23">
        <f t="shared" si="15"/>
        <v>68938.23341533776</v>
      </c>
      <c r="N23" s="23">
        <f t="shared" si="15"/>
        <v>75142.674422718163</v>
      </c>
      <c r="O23" s="23">
        <f t="shared" si="15"/>
        <v>81905.515120762808</v>
      </c>
      <c r="P23" s="23">
        <f t="shared" si="15"/>
        <v>88864.926498787288</v>
      </c>
      <c r="Q23" s="23">
        <f t="shared" si="15"/>
        <v>95993.565169900772</v>
      </c>
      <c r="R23" s="23">
        <f t="shared" si="15"/>
        <v>103263.57823111705</v>
      </c>
      <c r="S23" s="23">
        <f t="shared" si="15"/>
        <v>110646.99005761772</v>
      </c>
      <c r="T23" s="23">
        <f t="shared" si="15"/>
        <v>118116.05749406639</v>
      </c>
      <c r="U23" s="23">
        <f t="shared" si="15"/>
        <v>125643.5888330701</v>
      </c>
      <c r="V23" s="23">
        <f t="shared" si="15"/>
        <v>133203.22364051951</v>
      </c>
      <c r="W23" s="23">
        <f t="shared" si="15"/>
        <v>140769.67198906996</v>
      </c>
      <c r="X23" s="23">
        <f t="shared" si="15"/>
        <v>148318.91296488472</v>
      </c>
      <c r="Y23" s="23">
        <f t="shared" si="15"/>
        <v>155828.35340458696</v>
      </c>
      <c r="Z23" s="23">
        <f t="shared" si="15"/>
        <v>163276.94869732624</v>
      </c>
    </row>
    <row r="24" spans="3:26" x14ac:dyDescent="0.35">
      <c r="C24" t="s">
        <v>32</v>
      </c>
      <c r="D24" s="16">
        <v>0.26800000000000002</v>
      </c>
      <c r="F24" s="1" t="s">
        <v>18</v>
      </c>
      <c r="G24" s="10">
        <v>41451</v>
      </c>
      <c r="I24" s="41" t="s">
        <v>63</v>
      </c>
      <c r="J24" s="38">
        <f>J23/J11</f>
        <v>0.10022983038871011</v>
      </c>
      <c r="K24" s="39">
        <f>$D$17</f>
        <v>0.09</v>
      </c>
      <c r="L24" s="39">
        <f t="shared" ref="L24:O24" si="16">$D$17</f>
        <v>0.09</v>
      </c>
      <c r="M24" s="39">
        <f t="shared" si="16"/>
        <v>0.09</v>
      </c>
      <c r="N24" s="39">
        <f t="shared" si="16"/>
        <v>0.09</v>
      </c>
      <c r="O24" s="39">
        <f t="shared" si="16"/>
        <v>0.09</v>
      </c>
      <c r="P24" s="40">
        <f t="shared" ref="P24:Y24" si="17">($Z24/$O24)^(1/($D$10+1))*O24</f>
        <v>8.496877612897509E-2</v>
      </c>
      <c r="Q24" s="40">
        <f t="shared" si="17"/>
        <v>8.0218810187287645E-2</v>
      </c>
      <c r="R24" s="40">
        <f t="shared" si="17"/>
        <v>7.5734379157071013E-2</v>
      </c>
      <c r="S24" s="40">
        <f t="shared" si="17"/>
        <v>7.1500638976267614E-2</v>
      </c>
      <c r="T24" s="40">
        <f t="shared" si="17"/>
        <v>6.7503575402812821E-2</v>
      </c>
      <c r="U24" s="40">
        <f t="shared" si="17"/>
        <v>6.3729957625633243E-2</v>
      </c>
      <c r="V24" s="40">
        <f t="shared" si="17"/>
        <v>6.0167294468905556E-2</v>
      </c>
      <c r="W24" s="40">
        <f t="shared" si="17"/>
        <v>5.6803793044606199E-2</v>
      </c>
      <c r="X24" s="40">
        <f t="shared" si="17"/>
        <v>5.3628319716486406E-2</v>
      </c>
      <c r="Y24" s="40">
        <f t="shared" si="17"/>
        <v>5.0630363246258164E-2</v>
      </c>
      <c r="Z24" s="39">
        <f>D27</f>
        <v>4.7800000000000002E-2</v>
      </c>
    </row>
    <row r="25" spans="3:26" x14ac:dyDescent="0.35">
      <c r="C25" t="s">
        <v>41</v>
      </c>
      <c r="D25" s="4">
        <f>3.04%</f>
        <v>3.04E-2</v>
      </c>
      <c r="F25" t="s">
        <v>19</v>
      </c>
      <c r="G25" s="7">
        <f>SUM(G21:G24)</f>
        <v>46522</v>
      </c>
      <c r="I25" s="25" t="s">
        <v>4</v>
      </c>
      <c r="J25" s="23">
        <f>J20-J21-J23</f>
        <v>-46690.624122022775</v>
      </c>
      <c r="K25" s="23">
        <f t="shared" ref="K25:Z25" si="18">K20-K21-K23</f>
        <v>-6662.6893608974424</v>
      </c>
      <c r="L25" s="23">
        <f t="shared" si="18"/>
        <v>6258.9455220680902</v>
      </c>
      <c r="M25" s="23">
        <f t="shared" si="18"/>
        <v>24208.431501749408</v>
      </c>
      <c r="N25" s="23">
        <f t="shared" si="18"/>
        <v>48793.916781617881</v>
      </c>
      <c r="O25" s="23">
        <f t="shared" si="18"/>
        <v>82114.898793239205</v>
      </c>
      <c r="P25" s="23">
        <f t="shared" si="18"/>
        <v>137321.00892651721</v>
      </c>
      <c r="Q25" s="23">
        <f t="shared" si="18"/>
        <v>203403.11376351898</v>
      </c>
      <c r="R25" s="23">
        <f t="shared" si="18"/>
        <v>279847.2492634774</v>
      </c>
      <c r="S25" s="23">
        <f t="shared" si="18"/>
        <v>365903.855897884</v>
      </c>
      <c r="T25" s="23">
        <f t="shared" si="18"/>
        <v>460711.36320322333</v>
      </c>
      <c r="U25" s="23">
        <f t="shared" si="18"/>
        <v>563394.07185132429</v>
      </c>
      <c r="V25" s="23">
        <f t="shared" si="18"/>
        <v>673126.31449969008</v>
      </c>
      <c r="W25" s="23">
        <f t="shared" si="18"/>
        <v>789163.09950397559</v>
      </c>
      <c r="X25" s="23">
        <f t="shared" si="18"/>
        <v>910841.98310203687</v>
      </c>
      <c r="Y25" s="23">
        <f t="shared" si="18"/>
        <v>1037562.3881989219</v>
      </c>
      <c r="Z25" s="23">
        <f t="shared" si="18"/>
        <v>1168748.0465853375</v>
      </c>
    </row>
    <row r="26" spans="3:26" x14ac:dyDescent="0.35">
      <c r="C26" t="s">
        <v>66</v>
      </c>
      <c r="D26" s="16">
        <v>8.6999999999999994E-2</v>
      </c>
      <c r="I26" s="25" t="s">
        <v>9</v>
      </c>
      <c r="J26" s="18">
        <f t="shared" ref="J26:Y26" si="19">$D$33</f>
        <v>1.1100000000000001</v>
      </c>
      <c r="K26" s="18">
        <f t="shared" si="19"/>
        <v>1.1100000000000001</v>
      </c>
      <c r="L26" s="18">
        <f t="shared" si="19"/>
        <v>1.1100000000000001</v>
      </c>
      <c r="M26" s="18">
        <f t="shared" si="19"/>
        <v>1.1100000000000001</v>
      </c>
      <c r="N26" s="18">
        <f t="shared" si="19"/>
        <v>1.1100000000000001</v>
      </c>
      <c r="O26" s="18">
        <f t="shared" si="19"/>
        <v>1.1100000000000001</v>
      </c>
      <c r="P26" s="18">
        <f t="shared" si="19"/>
        <v>1.1100000000000001</v>
      </c>
      <c r="Q26" s="18">
        <f t="shared" si="19"/>
        <v>1.1100000000000001</v>
      </c>
      <c r="R26" s="18">
        <f t="shared" si="19"/>
        <v>1.1100000000000001</v>
      </c>
      <c r="S26" s="18">
        <f t="shared" si="19"/>
        <v>1.1100000000000001</v>
      </c>
      <c r="T26" s="18">
        <f t="shared" si="19"/>
        <v>1.1100000000000001</v>
      </c>
      <c r="U26" s="18">
        <f t="shared" si="19"/>
        <v>1.1100000000000001</v>
      </c>
      <c r="V26" s="18">
        <f t="shared" si="19"/>
        <v>1.1100000000000001</v>
      </c>
      <c r="W26" s="18">
        <f t="shared" si="19"/>
        <v>1.1100000000000001</v>
      </c>
      <c r="X26" s="18">
        <f t="shared" si="19"/>
        <v>1.1100000000000001</v>
      </c>
      <c r="Y26" s="18">
        <f t="shared" si="19"/>
        <v>1.1100000000000001</v>
      </c>
      <c r="Z26" s="18">
        <f>D20</f>
        <v>1.1100000000000001</v>
      </c>
    </row>
    <row r="27" spans="3:26" x14ac:dyDescent="0.35">
      <c r="C27" t="s">
        <v>67</v>
      </c>
      <c r="D27" s="16">
        <v>4.7800000000000002E-2</v>
      </c>
      <c r="F27" s="11" t="s">
        <v>37</v>
      </c>
      <c r="G27" s="11"/>
      <c r="I27" s="25" t="s">
        <v>7</v>
      </c>
      <c r="J27" s="19">
        <f t="shared" ref="J27:O27" si="20">$D$34</f>
        <v>0.10200500000000001</v>
      </c>
      <c r="K27" s="19">
        <f t="shared" si="20"/>
        <v>0.10200500000000001</v>
      </c>
      <c r="L27" s="19">
        <f t="shared" si="20"/>
        <v>0.10200500000000001</v>
      </c>
      <c r="M27" s="19">
        <f t="shared" si="20"/>
        <v>0.10200500000000001</v>
      </c>
      <c r="N27" s="19">
        <f t="shared" si="20"/>
        <v>0.10200500000000001</v>
      </c>
      <c r="O27" s="19">
        <f t="shared" si="20"/>
        <v>0.10200500000000001</v>
      </c>
      <c r="P27" s="19">
        <f t="shared" ref="P27:Y27" si="21">($Z27/$O27)^(1/($D$10+1))*O27</f>
        <v>0.10083007386037353</v>
      </c>
      <c r="Q27" s="19">
        <f t="shared" si="21"/>
        <v>9.9668680894940256E-2</v>
      </c>
      <c r="R27" s="19">
        <f t="shared" si="21"/>
        <v>9.8520665224281406E-2</v>
      </c>
      <c r="S27" s="19">
        <f t="shared" si="21"/>
        <v>9.7385872764447115E-2</v>
      </c>
      <c r="T27" s="19">
        <f t="shared" si="21"/>
        <v>9.6264151206275586E-2</v>
      </c>
      <c r="U27" s="19">
        <f t="shared" si="21"/>
        <v>9.5155349994950567E-2</v>
      </c>
      <c r="V27" s="19">
        <f t="shared" si="21"/>
        <v>9.405932030979422E-2</v>
      </c>
      <c r="W27" s="19">
        <f t="shared" si="21"/>
        <v>9.2975915044292756E-2</v>
      </c>
      <c r="X27" s="19">
        <f t="shared" si="21"/>
        <v>9.1904988786352157E-2</v>
      </c>
      <c r="Y27" s="19">
        <f t="shared" si="21"/>
        <v>9.0846397798781314E-2</v>
      </c>
      <c r="Z27" s="19">
        <f>$D$23</f>
        <v>8.9800000000000005E-2</v>
      </c>
    </row>
    <row r="28" spans="3:26" x14ac:dyDescent="0.35">
      <c r="F28" t="s">
        <v>33</v>
      </c>
      <c r="G28" s="8">
        <v>-13259</v>
      </c>
      <c r="I28" s="25" t="s">
        <v>43</v>
      </c>
      <c r="J28" s="19">
        <v>0</v>
      </c>
      <c r="K28" s="19">
        <f>K27</f>
        <v>0.10200500000000001</v>
      </c>
      <c r="L28" s="19">
        <f>K28*(1+L27)</f>
        <v>0.11241002002500003</v>
      </c>
      <c r="M28" s="19">
        <f t="shared" ref="M28:Z28" si="22">L28*(1+M27)</f>
        <v>0.12387640411765018</v>
      </c>
      <c r="N28" s="19">
        <f t="shared" si="22"/>
        <v>0.1365124167196711</v>
      </c>
      <c r="O28" s="19">
        <f t="shared" si="22"/>
        <v>0.15043736578716116</v>
      </c>
      <c r="P28" s="21">
        <f t="shared" si="22"/>
        <v>0.16560597649084066</v>
      </c>
      <c r="Q28" s="19">
        <f t="shared" si="22"/>
        <v>0.18211170571600124</v>
      </c>
      <c r="R28" s="19">
        <f t="shared" si="22"/>
        <v>0.20005347210827026</v>
      </c>
      <c r="S28" s="19">
        <f t="shared" si="22"/>
        <v>0.21953585408909215</v>
      </c>
      <c r="T28" s="19">
        <f t="shared" si="22"/>
        <v>0.24066928674232338</v>
      </c>
      <c r="U28" s="19">
        <f t="shared" si="22"/>
        <v>0.26357025695532427</v>
      </c>
      <c r="V28" s="19">
        <f t="shared" si="22"/>
        <v>0.28836149617841988</v>
      </c>
      <c r="W28" s="19">
        <f t="shared" si="22"/>
        <v>0.31517217014914983</v>
      </c>
      <c r="X28" s="19">
        <f t="shared" si="22"/>
        <v>0.34413806491247773</v>
      </c>
      <c r="Y28" s="19">
        <f t="shared" si="22"/>
        <v>0.3754017684552195</v>
      </c>
      <c r="Z28" s="19">
        <f t="shared" si="22"/>
        <v>0.40911284726249825</v>
      </c>
    </row>
    <row r="29" spans="3:26" x14ac:dyDescent="0.35">
      <c r="D29" s="4"/>
      <c r="F29" s="1" t="s">
        <v>61</v>
      </c>
      <c r="G29" s="9">
        <v>0</v>
      </c>
      <c r="I29" s="25" t="s">
        <v>13</v>
      </c>
      <c r="J29" s="20">
        <f>J25</f>
        <v>-46690.624122022775</v>
      </c>
      <c r="K29" s="20">
        <f t="shared" ref="K29:P29" si="23">K25/(1+K28)</f>
        <v>-6045.9701733634984</v>
      </c>
      <c r="L29" s="20">
        <f t="shared" si="23"/>
        <v>5626.4735209122155</v>
      </c>
      <c r="M29" s="20">
        <f t="shared" si="23"/>
        <v>21540.119014025684</v>
      </c>
      <c r="N29" s="20">
        <f t="shared" si="23"/>
        <v>42933.02568787794</v>
      </c>
      <c r="O29" s="20">
        <f t="shared" si="23"/>
        <v>71377.113813626798</v>
      </c>
      <c r="P29" s="20">
        <f t="shared" si="23"/>
        <v>117810.83118665383</v>
      </c>
      <c r="Q29" s="20">
        <f t="shared" ref="Q29:Y29" si="24">Q25/(1+Q28)</f>
        <v>172067.59122676851</v>
      </c>
      <c r="R29" s="20">
        <f t="shared" si="24"/>
        <v>233195.64983370111</v>
      </c>
      <c r="S29" s="20">
        <f t="shared" si="24"/>
        <v>300035.34104471945</v>
      </c>
      <c r="T29" s="20">
        <f t="shared" si="24"/>
        <v>371340.9916134316</v>
      </c>
      <c r="U29" s="20">
        <f t="shared" si="24"/>
        <v>445874.74954409606</v>
      </c>
      <c r="V29" s="20">
        <f t="shared" si="24"/>
        <v>522466.96016323019</v>
      </c>
      <c r="W29" s="20">
        <f t="shared" si="24"/>
        <v>600045.46736605512</v>
      </c>
      <c r="X29" s="20">
        <f t="shared" si="24"/>
        <v>677640.19699966279</v>
      </c>
      <c r="Y29" s="20">
        <f t="shared" si="24"/>
        <v>754370.40433956881</v>
      </c>
      <c r="Z29" s="20">
        <f>Z25/(1+Z28)</f>
        <v>829421.18429753825</v>
      </c>
    </row>
    <row r="30" spans="3:26" x14ac:dyDescent="0.35">
      <c r="C30" s="11" t="s">
        <v>7</v>
      </c>
      <c r="D30" s="1"/>
      <c r="F30" t="s">
        <v>37</v>
      </c>
      <c r="G30" s="7">
        <f>SUM(G28:G29)</f>
        <v>-13259</v>
      </c>
    </row>
    <row r="31" spans="3:26" x14ac:dyDescent="0.35">
      <c r="C31" t="s">
        <v>5</v>
      </c>
      <c r="D31" s="3">
        <v>4.5949999999999998E-2</v>
      </c>
    </row>
    <row r="32" spans="3:26" x14ac:dyDescent="0.35">
      <c r="C32" t="s">
        <v>6</v>
      </c>
      <c r="D32" s="3">
        <v>5.0500000000000003E-2</v>
      </c>
      <c r="F32" s="11" t="s">
        <v>44</v>
      </c>
      <c r="G32" s="13"/>
    </row>
    <row r="33" spans="3:7" x14ac:dyDescent="0.35">
      <c r="C33" s="1" t="s">
        <v>38</v>
      </c>
      <c r="D33" s="2">
        <v>1.1100000000000001</v>
      </c>
      <c r="F33" t="s">
        <v>45</v>
      </c>
      <c r="G33" s="7">
        <f>SUM(K29:O29)</f>
        <v>135430.76186307915</v>
      </c>
    </row>
    <row r="34" spans="3:7" x14ac:dyDescent="0.35">
      <c r="C34" t="s">
        <v>7</v>
      </c>
      <c r="D34" s="4">
        <f>D31+D33*D32</f>
        <v>0.10200500000000001</v>
      </c>
      <c r="F34" t="s">
        <v>46</v>
      </c>
      <c r="G34" s="7">
        <f>SUM(P29:Y29)</f>
        <v>4194848.1833178876</v>
      </c>
    </row>
    <row r="35" spans="3:7" x14ac:dyDescent="0.35">
      <c r="F35" s="1" t="s">
        <v>47</v>
      </c>
      <c r="G35" s="9">
        <f>Z29</f>
        <v>829421.18429753825</v>
      </c>
    </row>
    <row r="36" spans="3:7" x14ac:dyDescent="0.35">
      <c r="C36" s="11" t="s">
        <v>64</v>
      </c>
      <c r="D36" s="1"/>
      <c r="F36" t="s">
        <v>48</v>
      </c>
      <c r="G36" s="12">
        <f>SUM(G33:G35)</f>
        <v>5159700.1294785049</v>
      </c>
    </row>
    <row r="37" spans="3:7" x14ac:dyDescent="0.35">
      <c r="C37" t="s">
        <v>39</v>
      </c>
      <c r="D37" s="8">
        <v>17293</v>
      </c>
      <c r="F37" s="44" t="s">
        <v>49</v>
      </c>
      <c r="G37" s="45">
        <f>G36/G25</f>
        <v>110.90882011690178</v>
      </c>
    </row>
    <row r="38" spans="3:7" x14ac:dyDescent="0.35">
      <c r="C38" t="s">
        <v>24</v>
      </c>
      <c r="D38" s="8">
        <v>7407</v>
      </c>
    </row>
    <row r="39" spans="3:7" x14ac:dyDescent="0.35">
      <c r="C39" t="s">
        <v>65</v>
      </c>
      <c r="D39" s="8">
        <v>54946</v>
      </c>
    </row>
    <row r="65" spans="10:10" x14ac:dyDescent="0.35">
      <c r="J65" s="12"/>
    </row>
    <row r="66" spans="10:10" x14ac:dyDescent="0.35">
      <c r="J66" s="4"/>
    </row>
    <row r="70" spans="10:10" x14ac:dyDescent="0.35">
      <c r="J70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98CE-717B-4FD1-9918-B32D63F79B9A}">
  <sheetPr>
    <tabColor theme="7" tint="0.79998168889431442"/>
  </sheetPr>
  <dimension ref="B2:Q21"/>
  <sheetViews>
    <sheetView showGridLines="0" workbookViewId="0">
      <selection activeCell="O25" sqref="O25"/>
    </sheetView>
  </sheetViews>
  <sheetFormatPr defaultRowHeight="14.5" x14ac:dyDescent="0.35"/>
  <cols>
    <col min="1" max="1" width="5.1796875" customWidth="1"/>
    <col min="2" max="2" width="3.1796875" customWidth="1"/>
  </cols>
  <sheetData>
    <row r="2" spans="2:17" ht="20" customHeight="1" x14ac:dyDescent="0.35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2:17" ht="20" customHeight="1" x14ac:dyDescent="0.55000000000000004">
      <c r="B3" s="43" t="s">
        <v>58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2:17" ht="20" customHeight="1" x14ac:dyDescent="0.3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6" spans="2:17" x14ac:dyDescent="0.35">
      <c r="C6" s="17" t="s">
        <v>57</v>
      </c>
      <c r="K6" s="17" t="s">
        <v>10</v>
      </c>
    </row>
    <row r="7" spans="2:17" x14ac:dyDescent="0.35">
      <c r="K7" t="s">
        <v>11</v>
      </c>
    </row>
    <row r="21" spans="3:3" x14ac:dyDescent="0.35">
      <c r="C21" s="17" t="s">
        <v>59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Valuation</vt:lpstr>
      <vt:lpstr>Support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Brennen Curry</dc:creator>
  <cp:lastModifiedBy>Brennen Curry</cp:lastModifiedBy>
  <dcterms:created xsi:type="dcterms:W3CDTF">2024-04-09T02:03:20Z</dcterms:created>
  <dcterms:modified xsi:type="dcterms:W3CDTF">2024-06-08T16:02:35Z</dcterms:modified>
</cp:coreProperties>
</file>