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fc1b5d840bea1/Asset_Management/Valuation_Models/"/>
    </mc:Choice>
  </mc:AlternateContent>
  <xr:revisionPtr revIDLastSave="65" documentId="8_{4D578FF8-D0C0-4429-86F7-4DA9D9B97AD8}" xr6:coauthVersionLast="47" xr6:coauthVersionMax="47" xr10:uidLastSave="{884B9137-BF02-4830-A3E9-5A1E453106DF}"/>
  <bookViews>
    <workbookView xWindow="9375" yWindow="-16320" windowWidth="29040" windowHeight="15720" activeTab="1" xr2:uid="{9A01AF42-8690-439C-9073-E3F60472233E}"/>
  </bookViews>
  <sheets>
    <sheet name="Cover" sheetId="4" r:id="rId1"/>
    <sheet name="Valuation" sheetId="2" r:id="rId2"/>
    <sheet name="Suppor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J15" i="2" s="1"/>
  <c r="J11" i="2"/>
  <c r="J24" i="2" s="1"/>
  <c r="Q17" i="2"/>
  <c r="R17" i="2"/>
  <c r="P17" i="2"/>
  <c r="N17" i="2"/>
  <c r="O17" i="2"/>
  <c r="M17" i="2"/>
  <c r="S17" i="2"/>
  <c r="T17" i="2"/>
  <c r="U17" i="2"/>
  <c r="G29" i="2" l="1"/>
  <c r="L26" i="2" l="1"/>
  <c r="M26" i="2"/>
  <c r="N26" i="2"/>
  <c r="O26" i="2"/>
  <c r="K26" i="2"/>
  <c r="L24" i="2"/>
  <c r="M24" i="2"/>
  <c r="N24" i="2"/>
  <c r="O24" i="2"/>
  <c r="K24" i="2"/>
  <c r="U26" i="2"/>
  <c r="U24" i="2"/>
  <c r="P24" i="2" l="1"/>
  <c r="Q24" i="2" s="1"/>
  <c r="R24" i="2" s="1"/>
  <c r="S24" i="2" s="1"/>
  <c r="T24" i="2" s="1"/>
  <c r="P26" i="2"/>
  <c r="Q26" i="2" s="1"/>
  <c r="R26" i="2" s="1"/>
  <c r="S26" i="2" s="1"/>
  <c r="T26" i="2" s="1"/>
  <c r="D23" i="2" l="1"/>
  <c r="L13" i="2" l="1"/>
  <c r="M13" i="2"/>
  <c r="N13" i="2"/>
  <c r="O13" i="2"/>
  <c r="K13" i="2"/>
  <c r="G24" i="2"/>
  <c r="K17" i="2"/>
  <c r="L17" i="2"/>
  <c r="U12" i="2" l="1"/>
  <c r="U16" i="2" l="1"/>
  <c r="G18" i="2"/>
  <c r="J23" i="2" s="1"/>
  <c r="J25" i="2" l="1"/>
  <c r="J26" i="2" s="1"/>
  <c r="K28" i="2" l="1"/>
  <c r="K29" i="2" s="1"/>
  <c r="L28" i="2"/>
  <c r="L29" i="2" s="1"/>
  <c r="M28" i="2"/>
  <c r="M29" i="2" s="1"/>
  <c r="N28" i="2"/>
  <c r="N29" i="2" s="1"/>
  <c r="O28" i="2"/>
  <c r="J28" i="2"/>
  <c r="J29" i="2" s="1"/>
  <c r="U28" i="2"/>
  <c r="K21" i="2"/>
  <c r="L21" i="2"/>
  <c r="M21" i="2"/>
  <c r="N21" i="2"/>
  <c r="O21" i="2"/>
  <c r="J21" i="2"/>
  <c r="U21" i="2"/>
  <c r="K12" i="2"/>
  <c r="K16" i="2" s="1"/>
  <c r="L12" i="2"/>
  <c r="L16" i="2" s="1"/>
  <c r="M12" i="2"/>
  <c r="M16" i="2" s="1"/>
  <c r="N12" i="2"/>
  <c r="N16" i="2" s="1"/>
  <c r="O12" i="2"/>
  <c r="O16" i="2" s="1"/>
  <c r="U13" i="2"/>
  <c r="T13" i="2" s="1"/>
  <c r="U29" i="2" l="1"/>
  <c r="O29" i="2"/>
  <c r="P28" i="2"/>
  <c r="P21" i="2"/>
  <c r="K15" i="2"/>
  <c r="K20" i="2" s="1"/>
  <c r="K11" i="2"/>
  <c r="K23" i="2" s="1"/>
  <c r="S13" i="2"/>
  <c r="R13" i="2" s="1"/>
  <c r="Q13" i="2" s="1"/>
  <c r="P13" i="2" s="1"/>
  <c r="P12" i="2"/>
  <c r="P16" i="2" s="1"/>
  <c r="Q21" i="2" l="1"/>
  <c r="L11" i="2"/>
  <c r="L23" i="2" s="1"/>
  <c r="K25" i="2"/>
  <c r="Q28" i="2"/>
  <c r="P29" i="2"/>
  <c r="L15" i="2"/>
  <c r="L20" i="2" s="1"/>
  <c r="K14" i="2"/>
  <c r="K22" i="2" s="1"/>
  <c r="Q12" i="2"/>
  <c r="Q16" i="2" s="1"/>
  <c r="R21" i="2" l="1"/>
  <c r="M11" i="2"/>
  <c r="M14" i="2" s="1"/>
  <c r="L25" i="2"/>
  <c r="R28" i="2"/>
  <c r="Q29" i="2"/>
  <c r="K19" i="2"/>
  <c r="M15" i="2"/>
  <c r="M20" i="2" s="1"/>
  <c r="R12" i="2"/>
  <c r="R16" i="2" s="1"/>
  <c r="L14" i="2"/>
  <c r="L22" i="2" s="1"/>
  <c r="D33" i="2"/>
  <c r="M22" i="2" l="1"/>
  <c r="S21" i="2"/>
  <c r="M19" i="2"/>
  <c r="N11" i="2"/>
  <c r="M23" i="2"/>
  <c r="M25" i="2"/>
  <c r="S28" i="2"/>
  <c r="R29" i="2"/>
  <c r="L19" i="2"/>
  <c r="N15" i="2"/>
  <c r="N20" i="2" s="1"/>
  <c r="S12" i="2"/>
  <c r="S16" i="2" s="1"/>
  <c r="N14" i="2"/>
  <c r="D14" i="2"/>
  <c r="K30" i="2"/>
  <c r="N22" i="2" l="1"/>
  <c r="T21" i="2"/>
  <c r="O11" i="2"/>
  <c r="O14" i="2" s="1"/>
  <c r="N23" i="2"/>
  <c r="N25" i="2"/>
  <c r="T28" i="2"/>
  <c r="S29" i="2"/>
  <c r="N19" i="2"/>
  <c r="O15" i="2"/>
  <c r="O20" i="2" s="1"/>
  <c r="T12" i="2"/>
  <c r="T16" i="2" s="1"/>
  <c r="L30" i="2"/>
  <c r="O22" i="2" l="1"/>
  <c r="O23" i="2"/>
  <c r="O25" i="2"/>
  <c r="P11" i="2"/>
  <c r="T29" i="2"/>
  <c r="O19" i="2"/>
  <c r="P15" i="2"/>
  <c r="P20" i="2" s="1"/>
  <c r="M30" i="2"/>
  <c r="P14" i="2"/>
  <c r="P22" i="2" l="1"/>
  <c r="P23" i="2"/>
  <c r="P25" i="2"/>
  <c r="Q11" i="2"/>
  <c r="P19" i="2"/>
  <c r="Q15" i="2"/>
  <c r="Q20" i="2" s="1"/>
  <c r="N30" i="2"/>
  <c r="Q14" i="2"/>
  <c r="Q22" i="2" l="1"/>
  <c r="Q23" i="2"/>
  <c r="Q25" i="2"/>
  <c r="R11" i="2"/>
  <c r="Q19" i="2"/>
  <c r="R15" i="2"/>
  <c r="R20" i="2" s="1"/>
  <c r="O30" i="2"/>
  <c r="R23" i="2" l="1"/>
  <c r="R25" i="2"/>
  <c r="S11" i="2"/>
  <c r="R14" i="2"/>
  <c r="S15" i="2"/>
  <c r="S20" i="2" s="1"/>
  <c r="P30" i="2"/>
  <c r="Q30" i="2" s="1"/>
  <c r="R30" i="2" s="1"/>
  <c r="S30" i="2" s="1"/>
  <c r="T30" i="2" s="1"/>
  <c r="U30" i="2" s="1"/>
  <c r="R19" i="2" l="1"/>
  <c r="R22" i="2"/>
  <c r="S23" i="2"/>
  <c r="S25" i="2"/>
  <c r="T11" i="2"/>
  <c r="U11" i="2" s="1"/>
  <c r="S14" i="2"/>
  <c r="T15" i="2"/>
  <c r="U15" i="2" s="1"/>
  <c r="U20" i="2" l="1"/>
  <c r="T20" i="2"/>
  <c r="S19" i="2"/>
  <c r="S22" i="2"/>
  <c r="T23" i="2"/>
  <c r="T25" i="2"/>
  <c r="T14" i="2"/>
  <c r="T22" i="2" l="1"/>
  <c r="T19" i="2"/>
  <c r="U23" i="2" l="1"/>
  <c r="U25" i="2"/>
  <c r="U14" i="2"/>
  <c r="U22" i="2" s="1"/>
  <c r="U19" i="2" l="1"/>
  <c r="J14" i="2"/>
  <c r="J22" i="2" s="1"/>
  <c r="J19" i="2" l="1"/>
  <c r="J13" i="2"/>
  <c r="U27" i="2"/>
  <c r="T27" i="2"/>
  <c r="T31" i="2" s="1"/>
  <c r="N27" i="2"/>
  <c r="N31" i="2" s="1"/>
  <c r="S27" i="2"/>
  <c r="S31" i="2" s="1"/>
  <c r="Q27" i="2"/>
  <c r="Q31" i="2" s="1"/>
  <c r="P27" i="2"/>
  <c r="P31" i="2" s="1"/>
  <c r="K27" i="2"/>
  <c r="K31" i="2" s="1"/>
  <c r="O27" i="2"/>
  <c r="O31" i="2" s="1"/>
  <c r="L27" i="2"/>
  <c r="L31" i="2" s="1"/>
  <c r="R27" i="2"/>
  <c r="R31" i="2" s="1"/>
  <c r="M27" i="2"/>
  <c r="M31" i="2" s="1"/>
  <c r="U31" i="2" l="1"/>
  <c r="G34" i="2" s="1"/>
  <c r="G32" i="2"/>
  <c r="G33" i="2"/>
  <c r="G35" i="2" l="1"/>
  <c r="G36" i="2" s="1"/>
  <c r="J27" i="2"/>
  <c r="J31" i="2" s="1"/>
</calcChain>
</file>

<file path=xl/sharedStrings.xml><?xml version="1.0" encoding="utf-8"?>
<sst xmlns="http://schemas.openxmlformats.org/spreadsheetml/2006/main" count="100" uniqueCount="76">
  <si>
    <t>Terminal</t>
  </si>
  <si>
    <t>Current</t>
  </si>
  <si>
    <t>Transition Period</t>
  </si>
  <si>
    <t>High-Growth Period</t>
  </si>
  <si>
    <t>FCFE</t>
  </si>
  <si>
    <t>Riskfree Rate</t>
  </si>
  <si>
    <t>ERP</t>
  </si>
  <si>
    <t>Cost of Equity</t>
  </si>
  <si>
    <t>Stable Period</t>
  </si>
  <si>
    <t>Beta</t>
  </si>
  <si>
    <t>Tax Rate</t>
  </si>
  <si>
    <t>PV</t>
  </si>
  <si>
    <t>Growth</t>
  </si>
  <si>
    <t>High Growth</t>
  </si>
  <si>
    <t>Shares</t>
  </si>
  <si>
    <t>RSUs</t>
  </si>
  <si>
    <t>Common</t>
  </si>
  <si>
    <t>Total</t>
  </si>
  <si>
    <t>CapEx-Dep (Equity)</t>
  </si>
  <si>
    <t>Chg. Working Capitial (Equity)</t>
  </si>
  <si>
    <t>Stock Options Outstanding Effect</t>
  </si>
  <si>
    <t>Depreciation</t>
  </si>
  <si>
    <t>Working Capital</t>
  </si>
  <si>
    <t>Net Income</t>
  </si>
  <si>
    <t>Effective Tax Rate</t>
  </si>
  <si>
    <t>BV Debt Current</t>
  </si>
  <si>
    <t>BV Equity Current</t>
  </si>
  <si>
    <t>Revenues</t>
  </si>
  <si>
    <t>EBIT Margin</t>
  </si>
  <si>
    <t>EBIT</t>
  </si>
  <si>
    <t>Interest</t>
  </si>
  <si>
    <t>Taxes</t>
  </si>
  <si>
    <t>High Growth Period</t>
  </si>
  <si>
    <t>EBIT Adj.</t>
  </si>
  <si>
    <t>CapEx</t>
  </si>
  <si>
    <t>Current Financials</t>
  </si>
  <si>
    <t>Debt / DE</t>
  </si>
  <si>
    <t>Period Length</t>
  </si>
  <si>
    <t>Cumulated Discount</t>
  </si>
  <si>
    <t>High-Growth PV</t>
  </si>
  <si>
    <t>Transition PV</t>
  </si>
  <si>
    <t>Terminal PV</t>
  </si>
  <si>
    <t>Total Value</t>
  </si>
  <si>
    <t>Stock Value</t>
  </si>
  <si>
    <t>Debt Mix</t>
  </si>
  <si>
    <t>Debt Interest</t>
  </si>
  <si>
    <t>DCF Valuation</t>
  </si>
  <si>
    <t xml:space="preserve">   Curry Invest</t>
  </si>
  <si>
    <t xml:space="preserve">   Supporting Figures</t>
  </si>
  <si>
    <t>Year</t>
  </si>
  <si>
    <t xml:space="preserve">   MGM Resorts International (MGM) FCFE 3 Stage Valuation</t>
  </si>
  <si>
    <t>B1</t>
  </si>
  <si>
    <t>Normalized EBIT</t>
  </si>
  <si>
    <t>Non-Recurring Expenses</t>
  </si>
  <si>
    <t>Credit Rating</t>
  </si>
  <si>
    <t>Interest Coverage Ratio</t>
  </si>
  <si>
    <t>Net Capex / Revenue Ratio</t>
  </si>
  <si>
    <t>Net CapEx / Revenues</t>
  </si>
  <si>
    <t>Non-Cash WC / Revenues</t>
  </si>
  <si>
    <t>WC / Revenue Ratio</t>
  </si>
  <si>
    <t>5yr Nomralized Change WC</t>
  </si>
  <si>
    <t>Year 10</t>
  </si>
  <si>
    <t>A3</t>
  </si>
  <si>
    <t>Ba2</t>
  </si>
  <si>
    <t>Baa2</t>
  </si>
  <si>
    <t>Ba1</t>
  </si>
  <si>
    <t>Interest Bearing Debt</t>
  </si>
  <si>
    <t>Cash Flow</t>
  </si>
  <si>
    <t>Revenue</t>
  </si>
  <si>
    <t>Final Value</t>
  </si>
  <si>
    <t>April 17 2024</t>
  </si>
  <si>
    <t>Equity Risk Premium - MGM</t>
  </si>
  <si>
    <t>Output from Damodaran at nyu.edu</t>
  </si>
  <si>
    <t>Output from curryinvest</t>
  </si>
  <si>
    <t>Regression Beta - MGM</t>
  </si>
  <si>
    <t>Settings: Period = 10 years, Interval =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</si>
</sst>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7"/>
      <color rgb="FFCE9178"/>
      <name val="Consolas"/>
      <family val="3"/>
    </font>
    <font>
      <b/>
      <sz val="48"/>
      <color theme="0"/>
      <name val="Aptos Narrow"/>
      <family val="2"/>
      <scheme val="minor"/>
    </font>
    <font>
      <sz val="8"/>
      <color theme="7"/>
      <name val="Aptos Narrow"/>
      <family val="2"/>
      <scheme val="minor"/>
    </font>
    <font>
      <i/>
      <sz val="8"/>
      <name val="Aptos Narrow"/>
      <family val="2"/>
      <scheme val="minor"/>
    </font>
    <font>
      <sz val="8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9193D"/>
        <bgColor indexed="64"/>
      </patternFill>
    </fill>
    <fill>
      <patternFill patternType="solid">
        <fgColor rgb="FFECF5FF"/>
        <bgColor indexed="64"/>
      </patternFill>
    </fill>
    <fill>
      <patternFill patternType="solid">
        <fgColor rgb="FFA67EB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37" fontId="3" fillId="0" borderId="0"/>
  </cellStyleXfs>
  <cellXfs count="58">
    <xf numFmtId="0" fontId="0" fillId="0" borderId="0" xfId="0"/>
    <xf numFmtId="0" fontId="0" fillId="0" borderId="1" xfId="0" applyBorder="1"/>
    <xf numFmtId="10" fontId="2" fillId="0" borderId="0" xfId="0" applyNumberFormat="1" applyFont="1"/>
    <xf numFmtId="10" fontId="0" fillId="0" borderId="0" xfId="0" applyNumberFormat="1"/>
    <xf numFmtId="10" fontId="0" fillId="0" borderId="0" xfId="1" applyNumberFormat="1" applyFont="1"/>
    <xf numFmtId="37" fontId="3" fillId="0" borderId="0" xfId="2"/>
    <xf numFmtId="37" fontId="3" fillId="0" borderId="1" xfId="2" applyBorder="1"/>
    <xf numFmtId="0" fontId="1" fillId="0" borderId="1" xfId="0" applyFont="1" applyBorder="1"/>
    <xf numFmtId="37" fontId="0" fillId="0" borderId="0" xfId="0" applyNumberFormat="1"/>
    <xf numFmtId="10" fontId="1" fillId="0" borderId="1" xfId="1" applyNumberFormat="1" applyFont="1" applyBorder="1"/>
    <xf numFmtId="0" fontId="1" fillId="0" borderId="0" xfId="0" applyFont="1"/>
    <xf numFmtId="0" fontId="4" fillId="0" borderId="0" xfId="0" applyFont="1"/>
    <xf numFmtId="10" fontId="4" fillId="0" borderId="0" xfId="0" applyNumberFormat="1" applyFont="1"/>
    <xf numFmtId="37" fontId="4" fillId="0" borderId="0" xfId="2" applyFont="1"/>
    <xf numFmtId="10" fontId="4" fillId="0" borderId="0" xfId="1" applyNumberFormat="1" applyFont="1"/>
    <xf numFmtId="9" fontId="4" fillId="0" borderId="0" xfId="0" applyNumberFormat="1" applyFont="1"/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10" fontId="5" fillId="0" borderId="0" xfId="1" applyNumberFormat="1" applyFont="1"/>
    <xf numFmtId="10" fontId="4" fillId="2" borderId="0" xfId="1" applyNumberFormat="1" applyFont="1" applyFill="1"/>
    <xf numFmtId="10" fontId="5" fillId="2" borderId="0" xfId="1" applyNumberFormat="1" applyFont="1" applyFill="1"/>
    <xf numFmtId="0" fontId="6" fillId="0" borderId="1" xfId="0" applyFont="1" applyBorder="1"/>
    <xf numFmtId="37" fontId="4" fillId="0" borderId="1" xfId="2" applyFont="1" applyBorder="1"/>
    <xf numFmtId="10" fontId="5" fillId="0" borderId="1" xfId="1" applyNumberFormat="1" applyFont="1" applyBorder="1"/>
    <xf numFmtId="0" fontId="5" fillId="0" borderId="1" xfId="0" applyFont="1" applyBorder="1"/>
    <xf numFmtId="2" fontId="2" fillId="0" borderId="1" xfId="0" applyNumberFormat="1" applyFont="1" applyBorder="1"/>
    <xf numFmtId="37" fontId="2" fillId="0" borderId="0" xfId="2" applyFont="1"/>
    <xf numFmtId="37" fontId="2" fillId="0" borderId="1" xfId="2" applyFont="1" applyBorder="1"/>
    <xf numFmtId="0" fontId="0" fillId="2" borderId="0" xfId="0" applyFill="1"/>
    <xf numFmtId="9" fontId="0" fillId="2" borderId="0" xfId="0" applyNumberFormat="1" applyFill="1"/>
    <xf numFmtId="10" fontId="0" fillId="2" borderId="0" xfId="0" applyNumberFormat="1" applyFill="1"/>
    <xf numFmtId="2" fontId="4" fillId="0" borderId="0" xfId="0" applyNumberFormat="1" applyFont="1"/>
    <xf numFmtId="39" fontId="4" fillId="0" borderId="0" xfId="0" applyNumberFormat="1" applyFont="1"/>
    <xf numFmtId="37" fontId="10" fillId="0" borderId="1" xfId="2" applyFont="1" applyBorder="1"/>
    <xf numFmtId="10" fontId="5" fillId="0" borderId="0" xfId="1" applyNumberFormat="1" applyFont="1" applyFill="1"/>
    <xf numFmtId="10" fontId="5" fillId="0" borderId="1" xfId="1" applyNumberFormat="1" applyFont="1" applyFill="1" applyBorder="1"/>
    <xf numFmtId="10" fontId="5" fillId="0" borderId="1" xfId="0" applyNumberFormat="1" applyFont="1" applyBorder="1"/>
    <xf numFmtId="10" fontId="2" fillId="0" borderId="1" xfId="0" applyNumberFormat="1" applyFont="1" applyBorder="1"/>
    <xf numFmtId="39" fontId="11" fillId="0" borderId="0" xfId="2" applyNumberFormat="1" applyFont="1"/>
    <xf numFmtId="37" fontId="12" fillId="0" borderId="1" xfId="2" applyFont="1" applyBorder="1"/>
    <xf numFmtId="0" fontId="5" fillId="2" borderId="0" xfId="0" applyFont="1" applyFill="1" applyAlignment="1">
      <alignment horizontal="right"/>
    </xf>
    <xf numFmtId="37" fontId="12" fillId="0" borderId="0" xfId="2" applyFont="1"/>
    <xf numFmtId="0" fontId="1" fillId="3" borderId="0" xfId="0" applyFont="1" applyFill="1"/>
    <xf numFmtId="2" fontId="1" fillId="3" borderId="0" xfId="0" applyNumberFormat="1" applyFont="1" applyFill="1"/>
    <xf numFmtId="0" fontId="0" fillId="4" borderId="0" xfId="0" applyFill="1"/>
    <xf numFmtId="0" fontId="7" fillId="4" borderId="0" xfId="0" applyFont="1" applyFill="1"/>
    <xf numFmtId="0" fontId="0" fillId="5" borderId="0" xfId="0" applyFill="1"/>
    <xf numFmtId="0" fontId="8" fillId="5" borderId="0" xfId="0" applyFont="1" applyFill="1" applyAlignment="1">
      <alignment vertical="center"/>
    </xf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2" borderId="0" xfId="0" applyFont="1" applyFill="1"/>
    <xf numFmtId="0" fontId="13" fillId="7" borderId="0" xfId="0" applyFont="1" applyFill="1"/>
    <xf numFmtId="0" fontId="14" fillId="7" borderId="0" xfId="0" applyFont="1" applyFill="1"/>
    <xf numFmtId="0" fontId="13" fillId="2" borderId="0" xfId="0" applyFont="1" applyFill="1"/>
    <xf numFmtId="0" fontId="9" fillId="4" borderId="0" xfId="0" applyFont="1" applyFill="1" applyAlignment="1">
      <alignment horizontal="left" vertical="center"/>
    </xf>
  </cellXfs>
  <cellStyles count="3">
    <cellStyle name="Account Basic" xfId="2" xr:uid="{08D7D3D4-4980-4DC9-800C-F68D4F37AC46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9193D"/>
      <color rgb="FFA67EBC"/>
      <color rgb="FFECF5FF"/>
      <color rgb="FF0E05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353842</xdr:colOff>
      <xdr:row>0</xdr:row>
      <xdr:rowOff>257173</xdr:rowOff>
    </xdr:from>
    <xdr:to>
      <xdr:col>3</xdr:col>
      <xdr:colOff>368300</xdr:colOff>
      <xdr:row>3</xdr:row>
      <xdr:rowOff>485673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CF909-0706-CC44-B90C-0549B3F0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7" y="257173"/>
          <a:ext cx="1503533" cy="14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1</xdr:row>
      <xdr:rowOff>95250</xdr:rowOff>
    </xdr:from>
    <xdr:to>
      <xdr:col>10</xdr:col>
      <xdr:colOff>596900</xdr:colOff>
      <xdr:row>3</xdr:row>
      <xdr:rowOff>133350</xdr:rowOff>
    </xdr:to>
    <xdr:pic>
      <xdr:nvPicPr>
        <xdr:cNvPr id="2" name="Picture 1" descr="MGM Resorts International - Corporate Social Responsibility News ...">
          <a:extLst>
            <a:ext uri="{FF2B5EF4-FFF2-40B4-BE49-F238E27FC236}">
              <a16:creationId xmlns:a16="http://schemas.microsoft.com/office/drawing/2014/main" id="{273E721B-29F2-446E-CA5F-7A1CF500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279400"/>
          <a:ext cx="28448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215900</xdr:colOff>
      <xdr:row>7</xdr:row>
      <xdr:rowOff>57150</xdr:rowOff>
    </xdr:from>
    <xdr:to>
      <xdr:col>15</xdr:col>
      <xdr:colOff>203200</xdr:colOff>
      <xdr:row>20</xdr:row>
      <xdr:rowOff>126004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2E6E59-F076-FC6A-5CFC-30A54ACD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2350" y="1555750"/>
          <a:ext cx="2425700" cy="246280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120650</xdr:colOff>
      <xdr:row>7</xdr:row>
      <xdr:rowOff>9524</xdr:rowOff>
    </xdr:from>
    <xdr:to>
      <xdr:col>9</xdr:col>
      <xdr:colOff>501650</xdr:colOff>
      <xdr:row>20</xdr:row>
      <xdr:rowOff>80277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9F94F9-29FD-0AF8-4B40-53152C356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00" y="1508124"/>
          <a:ext cx="4648200" cy="246470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71BB-5FB6-4ED8-ACE0-66E052CBFD0C}">
  <sheetPr>
    <tabColor theme="8" tint="0.39997558519241921"/>
  </sheetPr>
  <dimension ref="A1:M24"/>
  <sheetViews>
    <sheetView showGridLines="0" workbookViewId="0">
      <selection activeCell="J13" sqref="J13"/>
    </sheetView>
  </sheetViews>
  <sheetFormatPr defaultRowHeight="14.5" x14ac:dyDescent="0.35"/>
  <cols>
    <col min="1" max="1" width="5.6328125" customWidth="1"/>
    <col min="2" max="4" width="10.6328125" style="50" customWidth="1"/>
    <col min="5" max="16384" width="8.7265625" style="48"/>
  </cols>
  <sheetData>
    <row r="1" spans="2:13" customFormat="1" ht="20" customHeight="1" x14ac:dyDescent="0.35">
      <c r="B1" s="50"/>
      <c r="C1" s="50"/>
      <c r="D1" s="50"/>
    </row>
    <row r="2" spans="2:13" s="46" customFormat="1" ht="40" customHeight="1" x14ac:dyDescent="0.35">
      <c r="B2" s="50"/>
      <c r="C2" s="50"/>
      <c r="D2" s="50"/>
      <c r="E2" s="57" t="s">
        <v>47</v>
      </c>
      <c r="F2" s="57"/>
      <c r="G2" s="57"/>
      <c r="H2" s="57"/>
      <c r="I2" s="57"/>
      <c r="J2" s="57"/>
      <c r="K2" s="57"/>
      <c r="L2" s="57"/>
      <c r="M2" s="57"/>
    </row>
    <row r="3" spans="2:13" s="46" customFormat="1" ht="40" customHeight="1" x14ac:dyDescent="0.35">
      <c r="B3" s="50"/>
      <c r="C3" s="50"/>
      <c r="D3" s="50"/>
      <c r="E3" s="57"/>
      <c r="F3" s="57"/>
      <c r="G3" s="57"/>
      <c r="H3" s="57"/>
      <c r="I3" s="57"/>
      <c r="J3" s="57"/>
      <c r="K3" s="57"/>
      <c r="L3" s="57"/>
      <c r="M3" s="57"/>
    </row>
    <row r="4" spans="2:13" s="46" customFormat="1" ht="40" customHeight="1" x14ac:dyDescent="0.35">
      <c r="B4" s="50"/>
      <c r="C4" s="50"/>
      <c r="D4" s="50"/>
      <c r="E4" s="57"/>
      <c r="F4" s="57"/>
      <c r="G4" s="57"/>
      <c r="H4" s="57"/>
      <c r="I4" s="57"/>
      <c r="J4" s="57"/>
      <c r="K4" s="57"/>
      <c r="L4" s="57"/>
      <c r="M4" s="57"/>
    </row>
    <row r="24" spans="9:9" x14ac:dyDescent="0.35">
      <c r="I24" s="49"/>
    </row>
  </sheetData>
  <mergeCells count="1">
    <mergeCell ref="E2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132-65D4-4A8D-BBB2-74965D70DB42}">
  <sheetPr>
    <tabColor theme="7" tint="0.39997558519241921"/>
  </sheetPr>
  <dimension ref="B2:V70"/>
  <sheetViews>
    <sheetView showGridLines="0" tabSelected="1" topLeftCell="A5" workbookViewId="0">
      <selection activeCell="P35" sqref="P35"/>
    </sheetView>
  </sheetViews>
  <sheetFormatPr defaultRowHeight="14.5" x14ac:dyDescent="0.35"/>
  <cols>
    <col min="1" max="1" width="5.1796875" customWidth="1"/>
    <col min="2" max="2" width="2.6328125" customWidth="1"/>
    <col min="3" max="3" width="23.81640625" bestFit="1" customWidth="1"/>
    <col min="4" max="4" width="10.54296875" bestFit="1" customWidth="1"/>
    <col min="5" max="5" width="5.1796875" customWidth="1"/>
    <col min="6" max="6" width="28.90625" bestFit="1" customWidth="1"/>
    <col min="7" max="7" width="11.54296875" bestFit="1" customWidth="1"/>
    <col min="8" max="8" width="5.1796875" customWidth="1"/>
    <col min="9" max="9" width="19.90625" bestFit="1" customWidth="1"/>
    <col min="10" max="21" width="10.6328125" customWidth="1"/>
    <col min="22" max="22" width="5.1796875" customWidth="1"/>
  </cols>
  <sheetData>
    <row r="2" spans="2:22" ht="20" customHeight="1" x14ac:dyDescent="0.3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2:22" ht="20" customHeight="1" x14ac:dyDescent="0.55000000000000004">
      <c r="B3" s="47" t="s">
        <v>50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2:22" ht="20" customHeight="1" x14ac:dyDescent="0.3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6" spans="2:22" x14ac:dyDescent="0.35">
      <c r="C6" s="10" t="s">
        <v>70</v>
      </c>
    </row>
    <row r="8" spans="2:22" x14ac:dyDescent="0.35">
      <c r="C8" s="7" t="s">
        <v>37</v>
      </c>
      <c r="D8" s="1"/>
      <c r="F8" s="7" t="s">
        <v>67</v>
      </c>
      <c r="G8" s="1"/>
      <c r="I8" s="10" t="s">
        <v>46</v>
      </c>
    </row>
    <row r="9" spans="2:22" x14ac:dyDescent="0.35">
      <c r="C9" t="s">
        <v>32</v>
      </c>
      <c r="D9" s="30">
        <v>5</v>
      </c>
      <c r="F9" t="s">
        <v>34</v>
      </c>
      <c r="G9" s="28">
        <v>931813</v>
      </c>
      <c r="I9" s="11"/>
      <c r="J9" s="18" t="s">
        <v>1</v>
      </c>
      <c r="K9" s="18" t="s">
        <v>3</v>
      </c>
      <c r="L9" s="18"/>
      <c r="M9" s="18"/>
      <c r="N9" s="18"/>
      <c r="O9" s="18"/>
      <c r="P9" s="18" t="s">
        <v>2</v>
      </c>
      <c r="Q9" s="11"/>
      <c r="R9" s="12"/>
      <c r="S9" s="11"/>
      <c r="T9" s="18" t="s">
        <v>61</v>
      </c>
      <c r="U9" s="11"/>
    </row>
    <row r="10" spans="2:22" x14ac:dyDescent="0.35">
      <c r="C10" t="s">
        <v>2</v>
      </c>
      <c r="D10" s="30">
        <v>5</v>
      </c>
      <c r="F10" t="s">
        <v>21</v>
      </c>
      <c r="G10" s="28">
        <v>814128</v>
      </c>
      <c r="I10" s="23" t="s">
        <v>49</v>
      </c>
      <c r="J10" s="26">
        <v>0</v>
      </c>
      <c r="K10" s="26">
        <v>1</v>
      </c>
      <c r="L10" s="26">
        <v>2</v>
      </c>
      <c r="M10" s="26">
        <v>3</v>
      </c>
      <c r="N10" s="26">
        <v>4</v>
      </c>
      <c r="O10" s="26">
        <v>5</v>
      </c>
      <c r="P10" s="26">
        <v>1</v>
      </c>
      <c r="Q10" s="26">
        <v>2</v>
      </c>
      <c r="R10" s="26">
        <v>3</v>
      </c>
      <c r="S10" s="26">
        <v>4</v>
      </c>
      <c r="T10" s="26">
        <v>5</v>
      </c>
      <c r="U10" s="23" t="s">
        <v>0</v>
      </c>
    </row>
    <row r="11" spans="2:22" x14ac:dyDescent="0.35">
      <c r="F11" t="s">
        <v>22</v>
      </c>
      <c r="G11" s="28">
        <v>1784525</v>
      </c>
      <c r="I11" s="18" t="s">
        <v>27</v>
      </c>
      <c r="J11" s="43">
        <f>D36</f>
        <v>16164249</v>
      </c>
      <c r="K11" s="13">
        <f>J11*(1+K12)</f>
        <v>17942316.390000001</v>
      </c>
      <c r="L11" s="13">
        <f t="shared" ref="L11:T11" si="0">K11*(1+L12)</f>
        <v>19915971.192900002</v>
      </c>
      <c r="M11" s="13">
        <f t="shared" si="0"/>
        <v>22106728.024119005</v>
      </c>
      <c r="N11" s="13">
        <f t="shared" si="0"/>
        <v>24538468.106772099</v>
      </c>
      <c r="O11" s="13">
        <f t="shared" si="0"/>
        <v>27237699.59851703</v>
      </c>
      <c r="P11" s="13">
        <f t="shared" si="0"/>
        <v>29578266.170819893</v>
      </c>
      <c r="Q11" s="13">
        <f t="shared" si="0"/>
        <v>31563817.745969996</v>
      </c>
      <c r="R11" s="13">
        <f t="shared" si="0"/>
        <v>33219038.312670168</v>
      </c>
      <c r="S11" s="13">
        <f t="shared" si="0"/>
        <v>34579891.546593592</v>
      </c>
      <c r="T11" s="13">
        <f t="shared" si="0"/>
        <v>35686529.977823496</v>
      </c>
      <c r="U11" s="13">
        <f>T11*(1+U12)/($U$29-U12)</f>
        <v>422074831.84793097</v>
      </c>
    </row>
    <row r="12" spans="2:22" x14ac:dyDescent="0.35">
      <c r="C12" s="7" t="s">
        <v>13</v>
      </c>
      <c r="D12" s="1"/>
      <c r="F12" t="s">
        <v>60</v>
      </c>
      <c r="G12" s="28">
        <v>441325</v>
      </c>
      <c r="I12" s="17" t="s">
        <v>12</v>
      </c>
      <c r="J12" s="19"/>
      <c r="K12" s="19">
        <f>$D$13</f>
        <v>0.11</v>
      </c>
      <c r="L12" s="19">
        <f>$D$13</f>
        <v>0.11</v>
      </c>
      <c r="M12" s="19">
        <f>$D$13</f>
        <v>0.11</v>
      </c>
      <c r="N12" s="19">
        <f>$D$13</f>
        <v>0.11</v>
      </c>
      <c r="O12" s="19">
        <f>$D$13</f>
        <v>0.11</v>
      </c>
      <c r="P12" s="19">
        <f>($U12/$O12)^(1/($D$10+1))*O12</f>
        <v>8.5931139809996851E-2</v>
      </c>
      <c r="Q12" s="19">
        <f>($U12/$O12)^(1/($D$10+1))*P12</f>
        <v>6.7128734445865687E-2</v>
      </c>
      <c r="R12" s="19">
        <f>($U12/$O12)^(1/($D$10+1))*Q12</f>
        <v>5.24404424085076E-2</v>
      </c>
      <c r="S12" s="19">
        <f>($U12/$O12)^(1/($D$10+1))*R12</f>
        <v>4.0966063530032314E-2</v>
      </c>
      <c r="T12" s="19">
        <f>($U12/$O12)^(1/($D$10+1))*S12</f>
        <v>3.2002368478767453E-2</v>
      </c>
      <c r="U12" s="19">
        <f>D22</f>
        <v>2.5000000000000001E-2</v>
      </c>
    </row>
    <row r="13" spans="2:22" x14ac:dyDescent="0.35">
      <c r="C13" t="s">
        <v>12</v>
      </c>
      <c r="D13" s="3">
        <v>0.11</v>
      </c>
      <c r="I13" s="18" t="s">
        <v>28</v>
      </c>
      <c r="J13" s="14">
        <f>J14/J11</f>
        <v>9.4121230129528444E-2</v>
      </c>
      <c r="K13" s="12">
        <f>$D$15</f>
        <v>0.1</v>
      </c>
      <c r="L13" s="12">
        <f t="shared" ref="L13:O13" si="1">$D$15</f>
        <v>0.1</v>
      </c>
      <c r="M13" s="12">
        <f t="shared" si="1"/>
        <v>0.1</v>
      </c>
      <c r="N13" s="12">
        <f t="shared" si="1"/>
        <v>0.1</v>
      </c>
      <c r="O13" s="12">
        <f t="shared" si="1"/>
        <v>0.1</v>
      </c>
      <c r="P13" s="12">
        <f>Q13/($U13/$O13)^(1/($D$10+1))</f>
        <v>0.10939609077347108</v>
      </c>
      <c r="Q13" s="12">
        <f>R13/($U13/$O13)^(1/($D$10+1))</f>
        <v>0.11967504676517526</v>
      </c>
      <c r="R13" s="12">
        <f>S13/($U13/$O13)^(1/($D$10+1))</f>
        <v>0.13091982279242512</v>
      </c>
      <c r="S13" s="12">
        <f>T13/($U13/$O13)^(1/($D$10+1))</f>
        <v>0.14322116818246888</v>
      </c>
      <c r="T13" s="12">
        <f>U13/($U13/$O13)^(1/($D$10+1))</f>
        <v>0.15667835915171938</v>
      </c>
      <c r="U13" s="12">
        <f>D24</f>
        <v>0.1714</v>
      </c>
    </row>
    <row r="14" spans="2:22" x14ac:dyDescent="0.35">
      <c r="C14" t="s">
        <v>7</v>
      </c>
      <c r="D14" s="3">
        <f>D33</f>
        <v>0.13332015999999999</v>
      </c>
      <c r="F14" s="7" t="s">
        <v>44</v>
      </c>
      <c r="G14" s="7"/>
      <c r="I14" s="23" t="s">
        <v>29</v>
      </c>
      <c r="J14" s="24">
        <f>G29</f>
        <v>1521399</v>
      </c>
      <c r="K14" s="24">
        <f>K11*K13</f>
        <v>1794231.6390000002</v>
      </c>
      <c r="L14" s="24">
        <f t="shared" ref="L14:U14" si="2">L11*L13</f>
        <v>1991597.1192900003</v>
      </c>
      <c r="M14" s="24">
        <f t="shared" si="2"/>
        <v>2210672.8024119004</v>
      </c>
      <c r="N14" s="24">
        <f t="shared" si="2"/>
        <v>2453846.8106772099</v>
      </c>
      <c r="O14" s="24">
        <f t="shared" si="2"/>
        <v>2723769.9598517031</v>
      </c>
      <c r="P14" s="24">
        <f t="shared" si="2"/>
        <v>3235746.6909449021</v>
      </c>
      <c r="Q14" s="24">
        <f t="shared" si="2"/>
        <v>3777401.3648364283</v>
      </c>
      <c r="R14" s="24">
        <f t="shared" si="2"/>
        <v>4349030.6092295591</v>
      </c>
      <c r="S14" s="24">
        <f t="shared" si="2"/>
        <v>4952572.4629262146</v>
      </c>
      <c r="T14" s="24">
        <f t="shared" si="2"/>
        <v>5591306.9607440298</v>
      </c>
      <c r="U14" s="24">
        <f t="shared" si="2"/>
        <v>72343626.178735361</v>
      </c>
    </row>
    <row r="15" spans="2:22" x14ac:dyDescent="0.35">
      <c r="C15" t="s">
        <v>28</v>
      </c>
      <c r="D15" s="32">
        <v>0.1</v>
      </c>
      <c r="F15" t="s">
        <v>25</v>
      </c>
      <c r="G15" s="28">
        <v>32013982</v>
      </c>
      <c r="I15" s="18" t="s">
        <v>66</v>
      </c>
      <c r="J15" s="43">
        <f>J20/J17</f>
        <v>5352244.1860465119</v>
      </c>
      <c r="K15" s="13">
        <f>J15*(1+K16)</f>
        <v>5940991.0465116287</v>
      </c>
      <c r="L15" s="13">
        <f t="shared" ref="L15:T15" si="3">K15*(1+L16)</f>
        <v>6594500.0616279086</v>
      </c>
      <c r="M15" s="13">
        <f t="shared" si="3"/>
        <v>7319895.0684069796</v>
      </c>
      <c r="N15" s="13">
        <f t="shared" si="3"/>
        <v>8125083.5259317476</v>
      </c>
      <c r="O15" s="13">
        <f t="shared" si="3"/>
        <v>9018842.7137842402</v>
      </c>
      <c r="P15" s="13">
        <f t="shared" si="3"/>
        <v>9600092.2894061636</v>
      </c>
      <c r="Q15" s="13">
        <f t="shared" si="3"/>
        <v>10083423.823869675</v>
      </c>
      <c r="R15" s="13">
        <f t="shared" si="3"/>
        <v>10480008.228606833</v>
      </c>
      <c r="S15" s="13">
        <f t="shared" si="3"/>
        <v>10802001.74077311</v>
      </c>
      <c r="T15" s="13">
        <f t="shared" si="3"/>
        <v>11061268.970785491</v>
      </c>
      <c r="U15" s="13">
        <f>T15*(1+U16)/($U$29-U16)</f>
        <v>130824802.62917854</v>
      </c>
    </row>
    <row r="16" spans="2:22" x14ac:dyDescent="0.35">
      <c r="C16" t="s">
        <v>57</v>
      </c>
      <c r="D16" s="32">
        <v>8.9999999999999993E-3</v>
      </c>
      <c r="F16" t="s">
        <v>26</v>
      </c>
      <c r="G16" s="28">
        <v>42368548</v>
      </c>
      <c r="I16" s="17" t="s">
        <v>12</v>
      </c>
      <c r="J16" s="20"/>
      <c r="K16" s="22">
        <f>K12</f>
        <v>0.11</v>
      </c>
      <c r="L16" s="22">
        <f t="shared" ref="L16:O16" si="4">L12</f>
        <v>0.11</v>
      </c>
      <c r="M16" s="22">
        <f t="shared" si="4"/>
        <v>0.11</v>
      </c>
      <c r="N16" s="22">
        <f t="shared" si="4"/>
        <v>0.11</v>
      </c>
      <c r="O16" s="22">
        <f t="shared" si="4"/>
        <v>0.11</v>
      </c>
      <c r="P16" s="22">
        <f>P12*0.75</f>
        <v>6.4448354857497642E-2</v>
      </c>
      <c r="Q16" s="22">
        <f t="shared" ref="Q16:T16" si="5">Q12*0.75</f>
        <v>5.0346550834399262E-2</v>
      </c>
      <c r="R16" s="22">
        <f t="shared" si="5"/>
        <v>3.9330331806380701E-2</v>
      </c>
      <c r="S16" s="22">
        <f t="shared" si="5"/>
        <v>3.0724547647524234E-2</v>
      </c>
      <c r="T16" s="22">
        <f t="shared" si="5"/>
        <v>2.4001776359075591E-2</v>
      </c>
      <c r="U16" s="22">
        <f t="shared" ref="U16" si="6">U12</f>
        <v>2.5000000000000001E-2</v>
      </c>
    </row>
    <row r="17" spans="3:21" x14ac:dyDescent="0.35">
      <c r="C17" t="s">
        <v>58</v>
      </c>
      <c r="D17" s="32">
        <v>2.3E-2</v>
      </c>
      <c r="F17" s="1" t="s">
        <v>24</v>
      </c>
      <c r="G17" s="39">
        <v>0.107</v>
      </c>
      <c r="I17" s="18" t="s">
        <v>45</v>
      </c>
      <c r="J17" s="21">
        <v>8.5999999999999993E-2</v>
      </c>
      <c r="K17" s="21">
        <f>$D$30+0.0314</f>
        <v>7.7939999999999995E-2</v>
      </c>
      <c r="L17" s="21">
        <f>$D$30+0.0314</f>
        <v>7.7939999999999995E-2</v>
      </c>
      <c r="M17" s="21">
        <f>$D$30+0.0221</f>
        <v>6.8640000000000007E-2</v>
      </c>
      <c r="N17" s="21">
        <f>$D$30+0.0221</f>
        <v>6.8640000000000007E-2</v>
      </c>
      <c r="O17" s="21">
        <f>$D$30+0.0221</f>
        <v>6.8640000000000007E-2</v>
      </c>
      <c r="P17" s="21">
        <f>$D$30+0.0174</f>
        <v>6.3939999999999997E-2</v>
      </c>
      <c r="Q17" s="21">
        <f>$D$30+0.0174</f>
        <v>6.3939999999999997E-2</v>
      </c>
      <c r="R17" s="21">
        <f>$D$30+0.0174</f>
        <v>6.3939999999999997E-2</v>
      </c>
      <c r="S17" s="21">
        <f>$D$30+0.0147</f>
        <v>6.1239999999999996E-2</v>
      </c>
      <c r="T17" s="21">
        <f>$D$30+0.0147</f>
        <v>6.1239999999999996E-2</v>
      </c>
      <c r="U17" s="21">
        <f>D30+0.0121</f>
        <v>5.8639999999999998E-2</v>
      </c>
    </row>
    <row r="18" spans="3:21" x14ac:dyDescent="0.35">
      <c r="F18" t="s">
        <v>36</v>
      </c>
      <c r="G18" s="4">
        <f>G15/(G15+G16)</f>
        <v>0.43039651918266292</v>
      </c>
      <c r="I18" s="17" t="s">
        <v>54</v>
      </c>
      <c r="J18" s="42" t="s">
        <v>51</v>
      </c>
      <c r="K18" s="42" t="s">
        <v>51</v>
      </c>
      <c r="L18" s="42" t="s">
        <v>51</v>
      </c>
      <c r="M18" s="42" t="s">
        <v>63</v>
      </c>
      <c r="N18" s="42" t="s">
        <v>63</v>
      </c>
      <c r="O18" s="42" t="s">
        <v>63</v>
      </c>
      <c r="P18" s="42" t="s">
        <v>65</v>
      </c>
      <c r="Q18" s="42" t="s">
        <v>65</v>
      </c>
      <c r="R18" s="42" t="s">
        <v>65</v>
      </c>
      <c r="S18" s="42" t="s">
        <v>64</v>
      </c>
      <c r="T18" s="42" t="s">
        <v>64</v>
      </c>
      <c r="U18" s="42" t="s">
        <v>62</v>
      </c>
    </row>
    <row r="19" spans="3:21" x14ac:dyDescent="0.35">
      <c r="C19" s="7" t="s">
        <v>8</v>
      </c>
      <c r="D19" s="1"/>
      <c r="I19" s="17" t="s">
        <v>55</v>
      </c>
      <c r="J19" s="40">
        <f>J14/J20</f>
        <v>3.305283808356851</v>
      </c>
      <c r="K19" s="40">
        <f t="shared" ref="K19:U19" si="7">K14/K20</f>
        <v>3.8748885100727093</v>
      </c>
      <c r="L19" s="40">
        <f t="shared" si="7"/>
        <v>3.8748885100727093</v>
      </c>
      <c r="M19" s="40">
        <f t="shared" si="7"/>
        <v>4.3998952575038883</v>
      </c>
      <c r="N19" s="40">
        <f t="shared" si="7"/>
        <v>4.3998952575038883</v>
      </c>
      <c r="O19" s="40">
        <f t="shared" si="7"/>
        <v>4.3998952575038883</v>
      </c>
      <c r="P19" s="40">
        <f t="shared" si="7"/>
        <v>5.2714061106415917</v>
      </c>
      <c r="Q19" s="40">
        <f t="shared" si="7"/>
        <v>5.858851349371756</v>
      </c>
      <c r="R19" s="40">
        <f t="shared" si="7"/>
        <v>6.4902019225045873</v>
      </c>
      <c r="S19" s="40">
        <f t="shared" si="7"/>
        <v>7.4867169420163941</v>
      </c>
      <c r="T19" s="40">
        <f t="shared" si="7"/>
        <v>8.254166034096114</v>
      </c>
      <c r="U19" s="40">
        <f t="shared" si="7"/>
        <v>9.4300983866739738</v>
      </c>
    </row>
    <row r="20" spans="3:21" x14ac:dyDescent="0.35">
      <c r="C20" t="s">
        <v>9</v>
      </c>
      <c r="D20" s="30">
        <v>1.34</v>
      </c>
      <c r="F20" s="7" t="s">
        <v>14</v>
      </c>
      <c r="G20" s="1"/>
      <c r="I20" s="23" t="s">
        <v>30</v>
      </c>
      <c r="J20" s="35">
        <f>D37</f>
        <v>460293</v>
      </c>
      <c r="K20" s="41">
        <f>K15*K17</f>
        <v>463040.84216511634</v>
      </c>
      <c r="L20" s="41">
        <f t="shared" ref="L20:U20" si="8">L15*L17</f>
        <v>513975.33480327914</v>
      </c>
      <c r="M20" s="41">
        <f t="shared" si="8"/>
        <v>502437.59749545512</v>
      </c>
      <c r="N20" s="41">
        <f t="shared" si="8"/>
        <v>557705.73321995523</v>
      </c>
      <c r="O20" s="41">
        <f t="shared" si="8"/>
        <v>619053.36387415032</v>
      </c>
      <c r="P20" s="41">
        <f t="shared" si="8"/>
        <v>613829.90098463011</v>
      </c>
      <c r="Q20" s="41">
        <f t="shared" si="8"/>
        <v>644734.11929822701</v>
      </c>
      <c r="R20" s="41">
        <f t="shared" si="8"/>
        <v>670091.72613712086</v>
      </c>
      <c r="S20" s="41">
        <f t="shared" si="8"/>
        <v>661514.58660494525</v>
      </c>
      <c r="T20" s="41">
        <f t="shared" si="8"/>
        <v>677392.11177090346</v>
      </c>
      <c r="U20" s="41">
        <f t="shared" si="8"/>
        <v>7671566.426175029</v>
      </c>
    </row>
    <row r="21" spans="3:21" x14ac:dyDescent="0.35">
      <c r="C21" t="s">
        <v>10</v>
      </c>
      <c r="D21" s="31">
        <v>0.21</v>
      </c>
      <c r="F21" t="s">
        <v>20</v>
      </c>
      <c r="G21" s="28">
        <v>6015</v>
      </c>
      <c r="I21" s="18" t="s">
        <v>31</v>
      </c>
      <c r="J21" s="12">
        <f t="shared" ref="J21:O21" si="9">$G$17</f>
        <v>0.107</v>
      </c>
      <c r="K21" s="12">
        <f t="shared" si="9"/>
        <v>0.107</v>
      </c>
      <c r="L21" s="12">
        <f t="shared" si="9"/>
        <v>0.107</v>
      </c>
      <c r="M21" s="12">
        <f t="shared" si="9"/>
        <v>0.107</v>
      </c>
      <c r="N21" s="12">
        <f t="shared" si="9"/>
        <v>0.107</v>
      </c>
      <c r="O21" s="12">
        <f t="shared" si="9"/>
        <v>0.107</v>
      </c>
      <c r="P21" s="12">
        <f>($U21/$O21)^(1/($D$10+1))*O21</f>
        <v>0.1197263374485603</v>
      </c>
      <c r="Q21" s="12">
        <f>($U21/$O21)^(1/($D$10+1))*P21</f>
        <v>0.13396631662473396</v>
      </c>
      <c r="R21" s="12">
        <f>($U21/$O21)^(1/($D$10+1))*Q21</f>
        <v>0.14989996664442592</v>
      </c>
      <c r="S21" s="12">
        <f>($U21/$O21)^(1/($D$10+1))*R21</f>
        <v>0.16772872887849041</v>
      </c>
      <c r="T21" s="12">
        <f>($U21/$O21)^(1/($D$10+1))*S21</f>
        <v>0.1876780036777965</v>
      </c>
      <c r="U21" s="15">
        <f>D21</f>
        <v>0.21</v>
      </c>
    </row>
    <row r="22" spans="3:21" x14ac:dyDescent="0.35">
      <c r="C22" t="s">
        <v>12</v>
      </c>
      <c r="D22" s="32">
        <v>2.5000000000000001E-2</v>
      </c>
      <c r="F22" t="s">
        <v>15</v>
      </c>
      <c r="G22" s="28">
        <v>6000</v>
      </c>
      <c r="I22" s="23" t="s">
        <v>23</v>
      </c>
      <c r="J22" s="24">
        <f>(J14-J20)-J21*(J14-J20)</f>
        <v>947567.65800000005</v>
      </c>
      <c r="K22" s="24">
        <f t="shared" ref="K22:U22" si="10">(K14-K20)-K21*(K14-K20)</f>
        <v>1188753.3815735511</v>
      </c>
      <c r="L22" s="24">
        <f t="shared" si="10"/>
        <v>1319516.2535466421</v>
      </c>
      <c r="M22" s="24">
        <f t="shared" si="10"/>
        <v>1525454.0379903857</v>
      </c>
      <c r="N22" s="24">
        <f t="shared" si="10"/>
        <v>1693253.9821693285</v>
      </c>
      <c r="O22" s="24">
        <f t="shared" si="10"/>
        <v>1879511.9202079545</v>
      </c>
      <c r="P22" s="24">
        <f t="shared" si="10"/>
        <v>2308004.2956034425</v>
      </c>
      <c r="Q22" s="24">
        <f t="shared" si="10"/>
        <v>2712995.3534424976</v>
      </c>
      <c r="R22" s="24">
        <f t="shared" si="10"/>
        <v>3127466.0672300002</v>
      </c>
      <c r="S22" s="24">
        <f t="shared" si="10"/>
        <v>3571324.1931818682</v>
      </c>
      <c r="T22" s="24">
        <f t="shared" si="10"/>
        <v>3991681.1198751689</v>
      </c>
      <c r="U22" s="24">
        <f t="shared" si="10"/>
        <v>51090927.204522662</v>
      </c>
    </row>
    <row r="23" spans="3:21" x14ac:dyDescent="0.35">
      <c r="C23" t="s">
        <v>7</v>
      </c>
      <c r="D23" s="3">
        <f>D30+D20*D31</f>
        <v>0.111664</v>
      </c>
      <c r="F23" s="1" t="s">
        <v>16</v>
      </c>
      <c r="G23" s="29">
        <v>354926</v>
      </c>
      <c r="I23" s="18" t="s">
        <v>18</v>
      </c>
      <c r="J23" s="16">
        <f>($G$9-$G$10)*(1-$G$18)</f>
        <v>67033.785639988317</v>
      </c>
      <c r="K23" s="16">
        <f>K11*K24*(1-$G$18)</f>
        <v>91980.05282702962</v>
      </c>
      <c r="L23" s="16">
        <f t="shared" ref="L23:U23" si="11">L11*L24*(1-$G$18)</f>
        <v>102097.85863800289</v>
      </c>
      <c r="M23" s="16">
        <f t="shared" si="11"/>
        <v>113328.62308818323</v>
      </c>
      <c r="N23" s="16">
        <f t="shared" si="11"/>
        <v>125794.7716278834</v>
      </c>
      <c r="O23" s="16">
        <f t="shared" si="11"/>
        <v>139632.19650695057</v>
      </c>
      <c r="P23" s="16">
        <f t="shared" si="11"/>
        <v>157259.57912028252</v>
      </c>
      <c r="Q23" s="16">
        <f t="shared" si="11"/>
        <v>174045.6508954188</v>
      </c>
      <c r="R23" s="16">
        <f t="shared" si="11"/>
        <v>189972.1580075493</v>
      </c>
      <c r="S23" s="16">
        <f t="shared" si="11"/>
        <v>205095.33380849502</v>
      </c>
      <c r="T23" s="16">
        <f t="shared" si="11"/>
        <v>219515.77026908673</v>
      </c>
      <c r="U23" s="16">
        <f t="shared" si="11"/>
        <v>2692651.2859229059</v>
      </c>
    </row>
    <row r="24" spans="3:21" x14ac:dyDescent="0.35">
      <c r="C24" t="s">
        <v>28</v>
      </c>
      <c r="D24" s="32">
        <v>0.1714</v>
      </c>
      <c r="F24" t="s">
        <v>17</v>
      </c>
      <c r="G24" s="5">
        <f>SUM(G21:G23)</f>
        <v>366941</v>
      </c>
      <c r="I24" s="17" t="s">
        <v>56</v>
      </c>
      <c r="J24" s="20">
        <f>(G9-G10)/J11</f>
        <v>7.2805733195523033E-3</v>
      </c>
      <c r="K24" s="36">
        <f>$D$16</f>
        <v>8.9999999999999993E-3</v>
      </c>
      <c r="L24" s="36">
        <f t="shared" ref="L24:O24" si="12">$D$16</f>
        <v>8.9999999999999993E-3</v>
      </c>
      <c r="M24" s="36">
        <f t="shared" si="12"/>
        <v>8.9999999999999993E-3</v>
      </c>
      <c r="N24" s="36">
        <f t="shared" si="12"/>
        <v>8.9999999999999993E-3</v>
      </c>
      <c r="O24" s="36">
        <f t="shared" si="12"/>
        <v>8.9999999999999993E-3</v>
      </c>
      <c r="P24" s="19">
        <f>($U24/$O24)^(1/($D$10+1))*O24</f>
        <v>9.334085219523407E-3</v>
      </c>
      <c r="Q24" s="19">
        <f>($U24/$O24)^(1/($D$10+1))*P24</f>
        <v>9.6805718761472596E-3</v>
      </c>
      <c r="R24" s="19">
        <f>($U24/$O24)^(1/($D$10+1))*Q24</f>
        <v>1.0039920318408902E-2</v>
      </c>
      <c r="S24" s="19">
        <f>($U24/$O24)^(1/($D$10+1))*R24</f>
        <v>1.0412607983250366E-2</v>
      </c>
      <c r="T24" s="19">
        <f>($U24/$O24)^(1/($D$10+1))*S24</f>
        <v>1.0799130030349853E-2</v>
      </c>
      <c r="U24" s="36">
        <f>D26</f>
        <v>1.12E-2</v>
      </c>
    </row>
    <row r="25" spans="3:21" x14ac:dyDescent="0.35">
      <c r="C25" t="s">
        <v>36</v>
      </c>
      <c r="D25" s="32">
        <v>0.32740000000000002</v>
      </c>
      <c r="I25" s="18" t="s">
        <v>19</v>
      </c>
      <c r="J25" s="16">
        <f>G12*(1-$G$18)</f>
        <v>251380.25617171131</v>
      </c>
      <c r="K25" s="16">
        <f t="shared" ref="K25:U25" si="13">K11*K26*(1-$G$18)</f>
        <v>235060.13500240905</v>
      </c>
      <c r="L25" s="16">
        <f t="shared" si="13"/>
        <v>260916.74985267408</v>
      </c>
      <c r="M25" s="16">
        <f t="shared" si="13"/>
        <v>289617.59233646828</v>
      </c>
      <c r="N25" s="16">
        <f t="shared" si="13"/>
        <v>321475.52749347978</v>
      </c>
      <c r="O25" s="16">
        <f t="shared" si="13"/>
        <v>356837.83551776258</v>
      </c>
      <c r="P25" s="16">
        <f t="shared" si="13"/>
        <v>404821.66065818863</v>
      </c>
      <c r="Q25" s="16">
        <f t="shared" si="13"/>
        <v>451306.00798593689</v>
      </c>
      <c r="R25" s="16">
        <f t="shared" si="13"/>
        <v>496202.79049131379</v>
      </c>
      <c r="S25" s="16">
        <f t="shared" si="13"/>
        <v>539617.88116651599</v>
      </c>
      <c r="T25" s="16">
        <f t="shared" si="13"/>
        <v>581778.38946762856</v>
      </c>
      <c r="U25" s="16">
        <f t="shared" si="13"/>
        <v>7188417.2722406154</v>
      </c>
    </row>
    <row r="26" spans="3:21" x14ac:dyDescent="0.35">
      <c r="C26" t="s">
        <v>57</v>
      </c>
      <c r="D26" s="32">
        <v>1.12E-2</v>
      </c>
      <c r="F26" s="7" t="s">
        <v>33</v>
      </c>
      <c r="G26" s="7"/>
      <c r="I26" s="26" t="s">
        <v>59</v>
      </c>
      <c r="J26" s="25">
        <f>J25/J11</f>
        <v>1.5551619884828012E-2</v>
      </c>
      <c r="K26" s="37">
        <f>$D$17</f>
        <v>2.3E-2</v>
      </c>
      <c r="L26" s="37">
        <f t="shared" ref="L26:O26" si="14">$D$17</f>
        <v>2.3E-2</v>
      </c>
      <c r="M26" s="37">
        <f t="shared" si="14"/>
        <v>2.3E-2</v>
      </c>
      <c r="N26" s="37">
        <f t="shared" si="14"/>
        <v>2.3E-2</v>
      </c>
      <c r="O26" s="37">
        <f t="shared" si="14"/>
        <v>2.3E-2</v>
      </c>
      <c r="P26" s="38">
        <f>($U26/$O26)^(1/($D$10+1))*O26</f>
        <v>2.4028042682235375E-2</v>
      </c>
      <c r="Q26" s="38">
        <f>($U26/$O26)^(1/($D$10+1))*P26</f>
        <v>2.5102036310405435E-2</v>
      </c>
      <c r="R26" s="38">
        <f>($U26/$O26)^(1/($D$10+1))*Q26</f>
        <v>2.6224034777280174E-2</v>
      </c>
      <c r="S26" s="38">
        <f>($U26/$O26)^(1/($D$10+1))*R26</f>
        <v>2.7396183779517951E-2</v>
      </c>
      <c r="T26" s="38">
        <f>($U26/$O26)^(1/($D$10+1))*S26</f>
        <v>2.8620724921070512E-2</v>
      </c>
      <c r="U26" s="37">
        <f>D27</f>
        <v>2.9899999999999999E-2</v>
      </c>
    </row>
    <row r="27" spans="3:21" x14ac:dyDescent="0.35">
      <c r="C27" t="s">
        <v>58</v>
      </c>
      <c r="D27" s="32">
        <v>2.9899999999999999E-2</v>
      </c>
      <c r="F27" t="s">
        <v>29</v>
      </c>
      <c r="G27" s="28">
        <v>1891497</v>
      </c>
      <c r="I27" s="18" t="s">
        <v>4</v>
      </c>
      <c r="J27" s="16">
        <f>J22-J23-J25</f>
        <v>629153.61618830054</v>
      </c>
      <c r="K27" s="16">
        <f t="shared" ref="K27:U27" si="15">K22-K23-K25</f>
        <v>861713.19374411227</v>
      </c>
      <c r="L27" s="16">
        <f t="shared" si="15"/>
        <v>956501.64505596505</v>
      </c>
      <c r="M27" s="16">
        <f t="shared" si="15"/>
        <v>1122507.8225657339</v>
      </c>
      <c r="N27" s="16">
        <f t="shared" si="15"/>
        <v>1245983.6830479652</v>
      </c>
      <c r="O27" s="16">
        <f t="shared" si="15"/>
        <v>1383041.8881832412</v>
      </c>
      <c r="P27" s="16">
        <f t="shared" si="15"/>
        <v>1745923.0558249713</v>
      </c>
      <c r="Q27" s="16">
        <f t="shared" si="15"/>
        <v>2087643.694561142</v>
      </c>
      <c r="R27" s="16">
        <f t="shared" si="15"/>
        <v>2441291.1187311374</v>
      </c>
      <c r="S27" s="16">
        <f t="shared" si="15"/>
        <v>2826610.9782068571</v>
      </c>
      <c r="T27" s="16">
        <f t="shared" si="15"/>
        <v>3190386.9601384536</v>
      </c>
      <c r="U27" s="16">
        <f t="shared" si="15"/>
        <v>41209858.646359138</v>
      </c>
    </row>
    <row r="28" spans="3:21" x14ac:dyDescent="0.35">
      <c r="F28" s="1" t="s">
        <v>53</v>
      </c>
      <c r="G28" s="29">
        <v>370098</v>
      </c>
      <c r="I28" s="18" t="s">
        <v>9</v>
      </c>
      <c r="J28" s="33">
        <f t="shared" ref="J28:O28" si="16">$D$32</f>
        <v>1.7856000000000001</v>
      </c>
      <c r="K28" s="33">
        <f t="shared" si="16"/>
        <v>1.7856000000000001</v>
      </c>
      <c r="L28" s="33">
        <f t="shared" si="16"/>
        <v>1.7856000000000001</v>
      </c>
      <c r="M28" s="33">
        <f t="shared" si="16"/>
        <v>1.7856000000000001</v>
      </c>
      <c r="N28" s="33">
        <f t="shared" si="16"/>
        <v>1.7856000000000001</v>
      </c>
      <c r="O28" s="33">
        <f t="shared" si="16"/>
        <v>1.7856000000000001</v>
      </c>
      <c r="P28" s="34">
        <f>($U28/$O28)^(1/($D$10+1))*O28</f>
        <v>1.7021752863979804</v>
      </c>
      <c r="Q28" s="34">
        <f>($U28/$O28)^(1/($D$10+1))*P28</f>
        <v>1.6226482446371229</v>
      </c>
      <c r="R28" s="34">
        <f>($U28/$O28)^(1/($D$10+1))*Q28</f>
        <v>1.5468367722549141</v>
      </c>
      <c r="S28" s="34">
        <f>($U28/$O28)^(1/($D$10+1))*R28</f>
        <v>1.4745672747669891</v>
      </c>
      <c r="T28" s="34">
        <f>($U28/$O28)^(1/($D$10+1))*S28</f>
        <v>1.4056742681673324</v>
      </c>
      <c r="U28" s="11">
        <f>D20</f>
        <v>1.34</v>
      </c>
    </row>
    <row r="29" spans="3:21" x14ac:dyDescent="0.35">
      <c r="C29" s="7" t="s">
        <v>7</v>
      </c>
      <c r="D29" s="1"/>
      <c r="F29" t="s">
        <v>52</v>
      </c>
      <c r="G29" s="5">
        <f>G27-G28</f>
        <v>1521399</v>
      </c>
      <c r="I29" s="18" t="s">
        <v>7</v>
      </c>
      <c r="J29" s="12">
        <f t="shared" ref="J29:U29" si="17">J28*$D$31+$D$30</f>
        <v>0.13332015999999999</v>
      </c>
      <c r="K29" s="12">
        <f t="shared" si="17"/>
        <v>0.13332015999999999</v>
      </c>
      <c r="L29" s="12">
        <f t="shared" si="17"/>
        <v>0.13332015999999999</v>
      </c>
      <c r="M29" s="12">
        <f t="shared" si="17"/>
        <v>0.13332015999999999</v>
      </c>
      <c r="N29" s="12">
        <f t="shared" si="17"/>
        <v>0.13332015999999999</v>
      </c>
      <c r="O29" s="12">
        <f t="shared" si="17"/>
        <v>0.13332015999999999</v>
      </c>
      <c r="P29" s="12">
        <f t="shared" si="17"/>
        <v>0.12926571891894184</v>
      </c>
      <c r="Q29" s="12">
        <f t="shared" si="17"/>
        <v>0.12540070468936415</v>
      </c>
      <c r="R29" s="12">
        <f t="shared" si="17"/>
        <v>0.12171626713158883</v>
      </c>
      <c r="S29" s="12">
        <f t="shared" si="17"/>
        <v>0.11820396955367567</v>
      </c>
      <c r="T29" s="12">
        <f t="shared" si="17"/>
        <v>0.11485576943293235</v>
      </c>
      <c r="U29" s="12">
        <f t="shared" si="17"/>
        <v>0.111664</v>
      </c>
    </row>
    <row r="30" spans="3:21" x14ac:dyDescent="0.35">
      <c r="C30" t="s">
        <v>5</v>
      </c>
      <c r="D30" s="2">
        <v>4.6539999999999998E-2</v>
      </c>
      <c r="I30" s="18" t="s">
        <v>38</v>
      </c>
      <c r="J30" s="12">
        <v>0</v>
      </c>
      <c r="K30" s="12">
        <f>K29</f>
        <v>0.13332015999999999</v>
      </c>
      <c r="L30" s="12">
        <f>K30*(1+L29)</f>
        <v>0.1510944250624256</v>
      </c>
      <c r="M30" s="12">
        <f t="shared" ref="M30:T30" si="18">L30*(1+M29)</f>
        <v>0.17123835798685619</v>
      </c>
      <c r="N30" s="12">
        <f t="shared" si="18"/>
        <v>0.19406788327180113</v>
      </c>
      <c r="O30" s="12">
        <f t="shared" si="18"/>
        <v>0.21994104452045898</v>
      </c>
      <c r="P30" s="14">
        <f t="shared" si="18"/>
        <v>0.24837188176017913</v>
      </c>
      <c r="Q30" s="12">
        <f t="shared" si="18"/>
        <v>0.27951789075792904</v>
      </c>
      <c r="R30" s="12">
        <f t="shared" si="18"/>
        <v>0.31353976501747938</v>
      </c>
      <c r="S30" s="12">
        <f t="shared" si="18"/>
        <v>0.35060140985547211</v>
      </c>
      <c r="T30" s="12">
        <f t="shared" si="18"/>
        <v>0.39087000454869325</v>
      </c>
      <c r="U30" s="12">
        <f>T30*(1+U29)</f>
        <v>0.43451611273661855</v>
      </c>
    </row>
    <row r="31" spans="3:21" x14ac:dyDescent="0.35">
      <c r="C31" t="s">
        <v>6</v>
      </c>
      <c r="D31" s="2">
        <v>4.8599999999999997E-2</v>
      </c>
      <c r="F31" s="7" t="s">
        <v>69</v>
      </c>
      <c r="G31" s="9"/>
      <c r="I31" s="18" t="s">
        <v>11</v>
      </c>
      <c r="J31" s="13">
        <f>J27</f>
        <v>629153.61618830054</v>
      </c>
      <c r="K31" s="13">
        <f t="shared" ref="K31:P31" si="19">K27/(1+K30)</f>
        <v>760344.00883163698</v>
      </c>
      <c r="L31" s="13">
        <f t="shared" si="19"/>
        <v>830949.76765619603</v>
      </c>
      <c r="M31" s="13">
        <f t="shared" si="19"/>
        <v>958394.00657533016</v>
      </c>
      <c r="N31" s="13">
        <f t="shared" si="19"/>
        <v>1043478.0974377374</v>
      </c>
      <c r="O31" s="13">
        <f t="shared" si="19"/>
        <v>1133695.6768487897</v>
      </c>
      <c r="P31" s="13">
        <f t="shared" si="19"/>
        <v>1398560.0615765671</v>
      </c>
      <c r="Q31" s="13">
        <f t="shared" ref="Q31:T31" si="20">Q27/(1+Q30)</f>
        <v>1631586.1697912763</v>
      </c>
      <c r="R31" s="13">
        <f t="shared" si="20"/>
        <v>1858558.9745725368</v>
      </c>
      <c r="S31" s="13">
        <f t="shared" si="20"/>
        <v>2092853.5669967446</v>
      </c>
      <c r="T31" s="13">
        <f t="shared" si="20"/>
        <v>2293806.7178849429</v>
      </c>
      <c r="U31" s="13">
        <f>U27/(1+U30)</f>
        <v>28727358.501218446</v>
      </c>
    </row>
    <row r="32" spans="3:21" x14ac:dyDescent="0.35">
      <c r="C32" s="1" t="s">
        <v>9</v>
      </c>
      <c r="D32" s="27">
        <v>1.7856000000000001</v>
      </c>
      <c r="F32" t="s">
        <v>39</v>
      </c>
      <c r="G32" s="5">
        <f>SUM(K31:O31)</f>
        <v>4726861.5573496902</v>
      </c>
    </row>
    <row r="33" spans="3:7" x14ac:dyDescent="0.35">
      <c r="C33" t="s">
        <v>7</v>
      </c>
      <c r="D33" s="3">
        <f>D30+D32*D31</f>
        <v>0.13332015999999999</v>
      </c>
      <c r="F33" t="s">
        <v>40</v>
      </c>
      <c r="G33" s="5">
        <f>SUM(P31:T31)</f>
        <v>9275365.4908220675</v>
      </c>
    </row>
    <row r="34" spans="3:7" x14ac:dyDescent="0.35">
      <c r="F34" s="1" t="s">
        <v>41</v>
      </c>
      <c r="G34" s="6">
        <f>U31</f>
        <v>28727358.501218446</v>
      </c>
    </row>
    <row r="35" spans="3:7" x14ac:dyDescent="0.35">
      <c r="C35" s="7" t="s">
        <v>35</v>
      </c>
      <c r="D35" s="7"/>
      <c r="F35" t="s">
        <v>42</v>
      </c>
      <c r="G35" s="8">
        <f>SUM(G32:G34)</f>
        <v>42729585.549390204</v>
      </c>
    </row>
    <row r="36" spans="3:7" x14ac:dyDescent="0.35">
      <c r="C36" t="s">
        <v>68</v>
      </c>
      <c r="D36" s="28">
        <v>16164249</v>
      </c>
      <c r="F36" s="44" t="s">
        <v>43</v>
      </c>
      <c r="G36" s="45">
        <f>G35/G24</f>
        <v>116.44810895863424</v>
      </c>
    </row>
    <row r="37" spans="3:7" x14ac:dyDescent="0.35">
      <c r="C37" t="s">
        <v>30</v>
      </c>
      <c r="D37" s="28">
        <v>460293</v>
      </c>
    </row>
    <row r="65" spans="10:10" x14ac:dyDescent="0.35">
      <c r="J65" s="8"/>
    </row>
    <row r="66" spans="10:10" x14ac:dyDescent="0.35">
      <c r="J66" s="3"/>
    </row>
    <row r="70" spans="10:10" x14ac:dyDescent="0.35">
      <c r="J70" s="3"/>
    </row>
  </sheetData>
  <phoneticPr fontId="12" type="noConversion"/>
  <pageMargins left="0.7" right="0.7" top="0.75" bottom="0.75" header="0.3" footer="0.3"/>
  <ignoredErrors>
    <ignoredError sqref="P25:T27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98CE-717B-4FD1-9918-B32D63F79B9A}">
  <sheetPr>
    <tabColor theme="7" tint="0.79998168889431442"/>
  </sheetPr>
  <dimension ref="B2:Q22"/>
  <sheetViews>
    <sheetView showGridLines="0" workbookViewId="0">
      <selection activeCell="R22" sqref="R21:R22"/>
    </sheetView>
  </sheetViews>
  <sheetFormatPr defaultRowHeight="14.5" x14ac:dyDescent="0.35"/>
  <cols>
    <col min="1" max="1" width="5.6328125" customWidth="1"/>
    <col min="2" max="2" width="3.1796875" customWidth="1"/>
    <col min="11" max="11" width="5.6328125" customWidth="1"/>
  </cols>
  <sheetData>
    <row r="2" spans="2:17" ht="20" customHeight="1" x14ac:dyDescent="0.3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2:17" ht="20" customHeight="1" x14ac:dyDescent="0.55000000000000004">
      <c r="B3" s="47" t="s">
        <v>48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17" ht="20" customHeight="1" x14ac:dyDescent="0.3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6" spans="2:17" x14ac:dyDescent="0.35">
      <c r="C6" s="51" t="s">
        <v>71</v>
      </c>
      <c r="D6" s="52"/>
      <c r="E6" s="52"/>
      <c r="F6" s="52"/>
      <c r="G6" s="52"/>
      <c r="H6" s="52"/>
      <c r="I6" s="52"/>
      <c r="J6" s="52"/>
      <c r="L6" s="53" t="s">
        <v>74</v>
      </c>
      <c r="M6" s="30"/>
      <c r="N6" s="30"/>
      <c r="O6" s="30"/>
      <c r="P6" s="30"/>
    </row>
    <row r="7" spans="2:17" x14ac:dyDescent="0.35">
      <c r="C7" s="52"/>
      <c r="D7" s="52"/>
      <c r="E7" s="52"/>
      <c r="F7" s="52"/>
      <c r="G7" s="52"/>
      <c r="H7" s="52"/>
      <c r="I7" s="52"/>
      <c r="J7" s="52"/>
      <c r="L7" s="30" t="s">
        <v>75</v>
      </c>
      <c r="M7" s="30"/>
      <c r="N7" s="30"/>
      <c r="O7" s="30"/>
      <c r="P7" s="30"/>
    </row>
    <row r="8" spans="2:17" x14ac:dyDescent="0.35">
      <c r="C8" s="52"/>
      <c r="D8" s="52"/>
      <c r="E8" s="52"/>
      <c r="F8" s="52"/>
      <c r="G8" s="52"/>
      <c r="H8" s="52"/>
      <c r="I8" s="52"/>
      <c r="J8" s="52"/>
      <c r="L8" s="30"/>
      <c r="M8" s="30"/>
      <c r="N8" s="30"/>
      <c r="O8" s="30"/>
      <c r="P8" s="30"/>
    </row>
    <row r="9" spans="2:17" x14ac:dyDescent="0.35">
      <c r="C9" s="52"/>
      <c r="D9" s="52"/>
      <c r="E9" s="52"/>
      <c r="F9" s="52"/>
      <c r="G9" s="52"/>
      <c r="H9" s="52"/>
      <c r="I9" s="52"/>
      <c r="J9" s="52"/>
      <c r="L9" s="30"/>
      <c r="M9" s="30"/>
      <c r="N9" s="30"/>
      <c r="O9" s="30"/>
      <c r="P9" s="30"/>
    </row>
    <row r="10" spans="2:17" x14ac:dyDescent="0.35">
      <c r="C10" s="52"/>
      <c r="D10" s="52"/>
      <c r="E10" s="52"/>
      <c r="F10" s="52"/>
      <c r="G10" s="52"/>
      <c r="H10" s="52"/>
      <c r="I10" s="52"/>
      <c r="J10" s="52"/>
      <c r="L10" s="30"/>
      <c r="M10" s="30"/>
      <c r="N10" s="30"/>
      <c r="O10" s="30"/>
      <c r="P10" s="30"/>
    </row>
    <row r="11" spans="2:17" x14ac:dyDescent="0.35">
      <c r="C11" s="52"/>
      <c r="D11" s="52"/>
      <c r="E11" s="52"/>
      <c r="F11" s="52"/>
      <c r="G11" s="52"/>
      <c r="H11" s="52"/>
      <c r="I11" s="52"/>
      <c r="J11" s="52"/>
      <c r="L11" s="30"/>
      <c r="M11" s="30"/>
      <c r="N11" s="30"/>
      <c r="O11" s="30"/>
      <c r="P11" s="30"/>
    </row>
    <row r="12" spans="2:17" x14ac:dyDescent="0.35">
      <c r="C12" s="52"/>
      <c r="D12" s="52"/>
      <c r="E12" s="52"/>
      <c r="F12" s="52"/>
      <c r="G12" s="52"/>
      <c r="H12" s="52"/>
      <c r="I12" s="52"/>
      <c r="J12" s="52"/>
      <c r="L12" s="30"/>
      <c r="M12" s="30"/>
      <c r="N12" s="30"/>
      <c r="O12" s="30"/>
      <c r="P12" s="30"/>
    </row>
    <row r="13" spans="2:17" x14ac:dyDescent="0.35">
      <c r="C13" s="52"/>
      <c r="D13" s="52"/>
      <c r="E13" s="52"/>
      <c r="F13" s="52"/>
      <c r="G13" s="52"/>
      <c r="H13" s="52"/>
      <c r="I13" s="52"/>
      <c r="J13" s="52"/>
      <c r="L13" s="30"/>
      <c r="M13" s="30"/>
      <c r="N13" s="30"/>
      <c r="O13" s="30"/>
      <c r="P13" s="30"/>
    </row>
    <row r="14" spans="2:17" x14ac:dyDescent="0.35">
      <c r="C14" s="52"/>
      <c r="D14" s="52"/>
      <c r="E14" s="52"/>
      <c r="F14" s="52"/>
      <c r="G14" s="52"/>
      <c r="H14" s="52"/>
      <c r="I14" s="52"/>
      <c r="J14" s="52"/>
      <c r="L14" s="30"/>
      <c r="M14" s="30"/>
      <c r="N14" s="30"/>
      <c r="O14" s="30"/>
      <c r="P14" s="30"/>
    </row>
    <row r="15" spans="2:17" x14ac:dyDescent="0.35">
      <c r="C15" s="52"/>
      <c r="D15" s="52"/>
      <c r="E15" s="52"/>
      <c r="F15" s="52"/>
      <c r="G15" s="52"/>
      <c r="H15" s="52"/>
      <c r="I15" s="52"/>
      <c r="J15" s="52"/>
      <c r="L15" s="30"/>
      <c r="M15" s="30"/>
      <c r="N15" s="30"/>
      <c r="O15" s="30"/>
      <c r="P15" s="30"/>
    </row>
    <row r="16" spans="2:17" x14ac:dyDescent="0.35">
      <c r="C16" s="52"/>
      <c r="D16" s="52"/>
      <c r="E16" s="52"/>
      <c r="F16" s="52"/>
      <c r="G16" s="52"/>
      <c r="H16" s="52"/>
      <c r="I16" s="52"/>
      <c r="J16" s="52"/>
      <c r="L16" s="30"/>
      <c r="M16" s="30"/>
      <c r="N16" s="30"/>
      <c r="O16" s="30"/>
      <c r="P16" s="30"/>
    </row>
    <row r="17" spans="3:16" x14ac:dyDescent="0.35">
      <c r="C17" s="52"/>
      <c r="D17" s="52"/>
      <c r="E17" s="52"/>
      <c r="F17" s="52"/>
      <c r="G17" s="52"/>
      <c r="H17" s="52"/>
      <c r="I17" s="52"/>
      <c r="J17" s="52"/>
      <c r="L17" s="30"/>
      <c r="M17" s="30"/>
      <c r="N17" s="30"/>
      <c r="O17" s="30"/>
      <c r="P17" s="30"/>
    </row>
    <row r="18" spans="3:16" x14ac:dyDescent="0.35">
      <c r="C18" s="52"/>
      <c r="D18" s="52"/>
      <c r="E18" s="52"/>
      <c r="F18" s="52"/>
      <c r="G18" s="52"/>
      <c r="H18" s="52"/>
      <c r="I18" s="52"/>
      <c r="J18" s="52"/>
      <c r="L18" s="30"/>
      <c r="M18" s="30"/>
      <c r="N18" s="30"/>
      <c r="O18" s="30"/>
      <c r="P18" s="30"/>
    </row>
    <row r="19" spans="3:16" x14ac:dyDescent="0.35">
      <c r="C19" s="52"/>
      <c r="D19" s="52"/>
      <c r="E19" s="52"/>
      <c r="F19" s="52"/>
      <c r="G19" s="52"/>
      <c r="H19" s="52"/>
      <c r="I19" s="52"/>
      <c r="J19" s="52"/>
      <c r="L19" s="30"/>
      <c r="M19" s="30"/>
      <c r="N19" s="30"/>
      <c r="O19" s="30"/>
      <c r="P19" s="30"/>
    </row>
    <row r="20" spans="3:16" x14ac:dyDescent="0.35">
      <c r="C20" s="52"/>
      <c r="D20" s="52"/>
      <c r="E20" s="52"/>
      <c r="F20" s="52"/>
      <c r="G20" s="52"/>
      <c r="H20" s="52"/>
      <c r="I20" s="52"/>
      <c r="J20" s="52"/>
      <c r="L20" s="30"/>
      <c r="M20" s="30"/>
      <c r="N20" s="30"/>
      <c r="O20" s="30"/>
      <c r="P20" s="30"/>
    </row>
    <row r="21" spans="3:16" x14ac:dyDescent="0.35">
      <c r="C21" s="51"/>
      <c r="D21" s="52"/>
      <c r="E21" s="52"/>
      <c r="F21" s="52"/>
      <c r="G21" s="52"/>
      <c r="H21" s="52"/>
      <c r="I21" s="52"/>
      <c r="J21" s="52"/>
      <c r="L21" s="30"/>
      <c r="M21" s="30"/>
      <c r="N21" s="30"/>
      <c r="O21" s="30"/>
      <c r="P21" s="30"/>
    </row>
    <row r="22" spans="3:16" x14ac:dyDescent="0.35">
      <c r="C22" s="54" t="s">
        <v>72</v>
      </c>
      <c r="D22" s="55"/>
      <c r="E22" s="55"/>
      <c r="F22" s="52"/>
      <c r="G22" s="52"/>
      <c r="H22" s="52"/>
      <c r="I22" s="52"/>
      <c r="J22" s="52"/>
      <c r="L22" s="56" t="s">
        <v>73</v>
      </c>
      <c r="M22" s="30"/>
      <c r="N22" s="30"/>
      <c r="O22" s="30"/>
      <c r="P22" s="3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Valuation</vt:lpstr>
      <vt:lpstr>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Brennen Curry</dc:creator>
  <cp:lastModifiedBy>Brennen Curry</cp:lastModifiedBy>
  <dcterms:created xsi:type="dcterms:W3CDTF">2024-04-09T02:03:20Z</dcterms:created>
  <dcterms:modified xsi:type="dcterms:W3CDTF">2024-06-08T17:36:41Z</dcterms:modified>
</cp:coreProperties>
</file>